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unter Babich\Documents\Bike Projects\Wire Harness\Final Documents\Power Supply\"/>
    </mc:Choice>
  </mc:AlternateContent>
  <xr:revisionPtr revIDLastSave="0" documentId="13_ncr:1_{BA88E9D8-D92C-4EC2-ADE4-653A2705C80C}" xr6:coauthVersionLast="47" xr6:coauthVersionMax="47" xr10:uidLastSave="{00000000-0000-0000-0000-000000000000}"/>
  <bookViews>
    <workbookView xWindow="-120" yWindow="-120" windowWidth="29040" windowHeight="15720" tabRatio="797" activeTab="1" xr2:uid="{00000000-000D-0000-FFFF-FFFF00000000}"/>
  </bookViews>
  <sheets>
    <sheet name="Label Codes" sheetId="10" r:id="rId1"/>
    <sheet name="Power Supply" sheetId="2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6" i="29" l="1"/>
  <c r="I129" i="29"/>
  <c r="H129" i="29"/>
  <c r="F129" i="29"/>
  <c r="E129" i="29"/>
  <c r="D129" i="29"/>
  <c r="C129" i="29" s="1"/>
  <c r="I128" i="29"/>
  <c r="H128" i="29"/>
  <c r="F128" i="29"/>
  <c r="E128" i="29"/>
  <c r="D128" i="29"/>
  <c r="C128" i="29" s="1"/>
  <c r="I127" i="29"/>
  <c r="H127" i="29"/>
  <c r="F127" i="29"/>
  <c r="E127" i="29"/>
  <c r="D127" i="29"/>
  <c r="C127" i="29" s="1"/>
  <c r="C122" i="29"/>
  <c r="C120" i="29"/>
  <c r="F119" i="29"/>
  <c r="B119" i="29"/>
  <c r="I116" i="29"/>
  <c r="H116" i="29"/>
  <c r="F116" i="29"/>
  <c r="E116" i="29"/>
  <c r="D116" i="29"/>
  <c r="C116" i="29" s="1"/>
  <c r="I115" i="29"/>
  <c r="H115" i="29"/>
  <c r="F115" i="29"/>
  <c r="E115" i="29"/>
  <c r="D115" i="29"/>
  <c r="C115" i="29" s="1"/>
  <c r="I114" i="29"/>
  <c r="H114" i="29"/>
  <c r="F114" i="29"/>
  <c r="E114" i="29"/>
  <c r="D114" i="29"/>
  <c r="C114" i="29" s="1"/>
  <c r="C109" i="29"/>
  <c r="C107" i="29"/>
  <c r="C113" i="29" s="1"/>
  <c r="F106" i="29"/>
  <c r="B106" i="29"/>
  <c r="M31" i="29"/>
  <c r="M26" i="29"/>
  <c r="M58" i="29"/>
  <c r="M55" i="29"/>
  <c r="M63" i="29"/>
  <c r="M60" i="29"/>
  <c r="Y82" i="29"/>
  <c r="H102" i="29"/>
  <c r="H89" i="29"/>
  <c r="H68" i="29"/>
  <c r="H69" i="29"/>
  <c r="H70" i="29"/>
  <c r="H74" i="29"/>
  <c r="H75" i="29"/>
  <c r="H47" i="29"/>
  <c r="H50" i="29"/>
  <c r="H51" i="29"/>
  <c r="H53" i="29"/>
  <c r="H54" i="29"/>
  <c r="H55" i="29"/>
  <c r="H56" i="29"/>
  <c r="H30" i="29"/>
  <c r="H15" i="29"/>
  <c r="H16" i="29"/>
  <c r="H17" i="29"/>
  <c r="H18" i="29"/>
  <c r="H14" i="29"/>
  <c r="H13" i="29"/>
  <c r="H29" i="29"/>
  <c r="H28" i="29"/>
  <c r="H46" i="29"/>
  <c r="H45" i="29"/>
  <c r="H67" i="29"/>
  <c r="H66" i="29"/>
  <c r="H87" i="29"/>
  <c r="M85" i="29"/>
  <c r="H31" i="29" s="1"/>
  <c r="B523" i="29" a="1"/>
  <c r="B523" i="29" s="1"/>
  <c r="C520" i="29"/>
  <c r="B512" i="29" a="1"/>
  <c r="B512" i="29" s="1"/>
  <c r="C509" i="29"/>
  <c r="B501" i="29" a="1"/>
  <c r="B501" i="29" s="1"/>
  <c r="C498" i="29"/>
  <c r="B490" i="29" a="1"/>
  <c r="B490" i="29" s="1"/>
  <c r="C487" i="29"/>
  <c r="B479" i="29" a="1"/>
  <c r="B479" i="29" s="1"/>
  <c r="C476" i="29"/>
  <c r="B468" i="29" a="1"/>
  <c r="B468" i="29" s="1"/>
  <c r="C465" i="29"/>
  <c r="B457" i="29" a="1"/>
  <c r="B457" i="29" s="1"/>
  <c r="C454" i="29"/>
  <c r="B446" i="29" a="1"/>
  <c r="B446" i="29" s="1"/>
  <c r="C443" i="29"/>
  <c r="B435" i="29" a="1"/>
  <c r="B435" i="29" s="1"/>
  <c r="C432" i="29"/>
  <c r="B424" i="29" a="1"/>
  <c r="B424" i="29" s="1"/>
  <c r="C421" i="29"/>
  <c r="C422" i="29" s="1"/>
  <c r="B413" i="29" a="1"/>
  <c r="B413" i="29" s="1"/>
  <c r="C410" i="29"/>
  <c r="C412" i="29" s="1"/>
  <c r="B402" i="29" a="1"/>
  <c r="B402" i="29" s="1"/>
  <c r="C399" i="29"/>
  <c r="C401" i="29" s="1"/>
  <c r="B391" i="29" a="1"/>
  <c r="B391" i="29" s="1"/>
  <c r="C388" i="29"/>
  <c r="C390" i="29" s="1"/>
  <c r="B380" i="29" a="1"/>
  <c r="B380" i="29" s="1"/>
  <c r="C377" i="29"/>
  <c r="C379" i="29" s="1"/>
  <c r="B369" i="29" a="1"/>
  <c r="B369" i="29" s="1"/>
  <c r="C373" i="29" s="1"/>
  <c r="G373" i="29" s="1"/>
  <c r="C366" i="29"/>
  <c r="C368" i="29" s="1"/>
  <c r="C289" i="29"/>
  <c r="G289" i="29" s="1"/>
  <c r="H289" i="29" s="1"/>
  <c r="C359" i="29"/>
  <c r="G359" i="29" s="1"/>
  <c r="H359" i="29" s="1"/>
  <c r="C358" i="29"/>
  <c r="G358" i="29" s="1"/>
  <c r="H358" i="29" s="1"/>
  <c r="C357" i="29"/>
  <c r="G357" i="29" s="1"/>
  <c r="H357" i="29" s="1"/>
  <c r="C356" i="29"/>
  <c r="G356" i="29" s="1"/>
  <c r="C355" i="29"/>
  <c r="G355" i="29" s="1"/>
  <c r="C349" i="29"/>
  <c r="C351" i="29" s="1"/>
  <c r="C345" i="29"/>
  <c r="G345" i="29" s="1"/>
  <c r="C344" i="29"/>
  <c r="G344" i="29" s="1"/>
  <c r="H344" i="29" s="1"/>
  <c r="C343" i="29"/>
  <c r="G343" i="29" s="1"/>
  <c r="C342" i="29"/>
  <c r="G342" i="29" s="1"/>
  <c r="H342" i="29" s="1"/>
  <c r="C341" i="29"/>
  <c r="G341" i="29" s="1"/>
  <c r="C335" i="29"/>
  <c r="C337" i="29" s="1"/>
  <c r="C331" i="29"/>
  <c r="G331" i="29" s="1"/>
  <c r="C330" i="29"/>
  <c r="G330" i="29" s="1"/>
  <c r="H330" i="29" s="1"/>
  <c r="C329" i="29"/>
  <c r="G329" i="29" s="1"/>
  <c r="C328" i="29"/>
  <c r="G328" i="29" s="1"/>
  <c r="H328" i="29" s="1"/>
  <c r="C327" i="29"/>
  <c r="G327" i="29" s="1"/>
  <c r="C321" i="29"/>
  <c r="F320" i="29" s="1"/>
  <c r="C317" i="29"/>
  <c r="G317" i="29" s="1"/>
  <c r="H317" i="29" s="1"/>
  <c r="C316" i="29"/>
  <c r="G316" i="29" s="1"/>
  <c r="C315" i="29"/>
  <c r="G315" i="29" s="1"/>
  <c r="C314" i="29"/>
  <c r="G314" i="29" s="1"/>
  <c r="C313" i="29"/>
  <c r="G313" i="29" s="1"/>
  <c r="H313" i="29" s="1"/>
  <c r="C307" i="29"/>
  <c r="C309" i="29" s="1"/>
  <c r="C303" i="29"/>
  <c r="G303" i="29" s="1"/>
  <c r="H303" i="29" s="1"/>
  <c r="C302" i="29"/>
  <c r="G302" i="29" s="1"/>
  <c r="C301" i="29"/>
  <c r="G301" i="29" s="1"/>
  <c r="C300" i="29"/>
  <c r="G300" i="29" s="1"/>
  <c r="C299" i="29"/>
  <c r="G299" i="29" s="1"/>
  <c r="H299" i="29" s="1"/>
  <c r="C293" i="29"/>
  <c r="C295" i="29" s="1"/>
  <c r="C288" i="29"/>
  <c r="G288" i="29" s="1"/>
  <c r="H288" i="29" s="1"/>
  <c r="C287" i="29"/>
  <c r="G287" i="29" s="1"/>
  <c r="C286" i="29"/>
  <c r="G286" i="29" s="1"/>
  <c r="C285" i="29"/>
  <c r="G285" i="29" s="1"/>
  <c r="H285" i="29" s="1"/>
  <c r="C279" i="29"/>
  <c r="C281" i="29" s="1"/>
  <c r="C275" i="29"/>
  <c r="G275" i="29" s="1"/>
  <c r="H275" i="29" s="1"/>
  <c r="C274" i="29"/>
  <c r="G274" i="29" s="1"/>
  <c r="H274" i="29" s="1"/>
  <c r="C273" i="29"/>
  <c r="G273" i="29" s="1"/>
  <c r="C272" i="29"/>
  <c r="G272" i="29" s="1"/>
  <c r="C271" i="29"/>
  <c r="G271" i="29" s="1"/>
  <c r="H271" i="29" s="1"/>
  <c r="C265" i="29"/>
  <c r="C267" i="29" s="1"/>
  <c r="C261" i="29"/>
  <c r="G261" i="29" s="1"/>
  <c r="H261" i="29" s="1"/>
  <c r="C260" i="29"/>
  <c r="G260" i="29" s="1"/>
  <c r="H260" i="29" s="1"/>
  <c r="C259" i="29"/>
  <c r="G259" i="29" s="1"/>
  <c r="C258" i="29"/>
  <c r="G258" i="29" s="1"/>
  <c r="H258" i="29" s="1"/>
  <c r="C257" i="29"/>
  <c r="G257" i="29" s="1"/>
  <c r="C251" i="29"/>
  <c r="C253" i="29" s="1"/>
  <c r="C247" i="29"/>
  <c r="G247" i="29" s="1"/>
  <c r="H247" i="29" s="1"/>
  <c r="C246" i="29"/>
  <c r="G246" i="29" s="1"/>
  <c r="C245" i="29"/>
  <c r="G245" i="29" s="1"/>
  <c r="C244" i="29"/>
  <c r="G244" i="29" s="1"/>
  <c r="C243" i="29"/>
  <c r="G243" i="29" s="1"/>
  <c r="H243" i="29" s="1"/>
  <c r="C237" i="29"/>
  <c r="C239" i="29" s="1"/>
  <c r="C233" i="29"/>
  <c r="G233" i="29" s="1"/>
  <c r="H233" i="29" s="1"/>
  <c r="C232" i="29"/>
  <c r="G232" i="29" s="1"/>
  <c r="C231" i="29"/>
  <c r="G231" i="29" s="1"/>
  <c r="C230" i="29"/>
  <c r="G230" i="29" s="1"/>
  <c r="C229" i="29"/>
  <c r="G229" i="29" s="1"/>
  <c r="H229" i="29" s="1"/>
  <c r="C223" i="29"/>
  <c r="C225" i="29" s="1"/>
  <c r="C219" i="29"/>
  <c r="G219" i="29" s="1"/>
  <c r="H219" i="29" s="1"/>
  <c r="C218" i="29"/>
  <c r="G218" i="29" s="1"/>
  <c r="C217" i="29"/>
  <c r="G217" i="29" s="1"/>
  <c r="C216" i="29"/>
  <c r="G216" i="29" s="1"/>
  <c r="H216" i="29" s="1"/>
  <c r="C215" i="29"/>
  <c r="G215" i="29" s="1"/>
  <c r="H215" i="29" s="1"/>
  <c r="C209" i="29"/>
  <c r="C211" i="29" s="1"/>
  <c r="C205" i="29"/>
  <c r="G205" i="29" s="1"/>
  <c r="H205" i="29" s="1"/>
  <c r="C204" i="29"/>
  <c r="G204" i="29" s="1"/>
  <c r="C203" i="29"/>
  <c r="G203" i="29" s="1"/>
  <c r="C202" i="29"/>
  <c r="G202" i="29" s="1"/>
  <c r="H202" i="29" s="1"/>
  <c r="C201" i="29"/>
  <c r="G201" i="29" s="1"/>
  <c r="H201" i="29" s="1"/>
  <c r="C195" i="29"/>
  <c r="C197" i="29" s="1"/>
  <c r="C191" i="29"/>
  <c r="G191" i="29" s="1"/>
  <c r="C190" i="29"/>
  <c r="G190" i="29" s="1"/>
  <c r="C189" i="29"/>
  <c r="G189" i="29" s="1"/>
  <c r="C188" i="29"/>
  <c r="G188" i="29" s="1"/>
  <c r="H188" i="29" s="1"/>
  <c r="C187" i="29"/>
  <c r="G187" i="29" s="1"/>
  <c r="H187" i="29" s="1"/>
  <c r="C181" i="29"/>
  <c r="C183" i="29" s="1"/>
  <c r="C177" i="29"/>
  <c r="G177" i="29" s="1"/>
  <c r="H177" i="29" s="1"/>
  <c r="C176" i="29"/>
  <c r="G176" i="29" s="1"/>
  <c r="C175" i="29"/>
  <c r="G175" i="29" s="1"/>
  <c r="C174" i="29"/>
  <c r="G174" i="29" s="1"/>
  <c r="C173" i="29"/>
  <c r="G173" i="29" s="1"/>
  <c r="H173" i="29" s="1"/>
  <c r="C167" i="29"/>
  <c r="C169" i="29" s="1"/>
  <c r="C163" i="29"/>
  <c r="G163" i="29" s="1"/>
  <c r="H163" i="29" s="1"/>
  <c r="C162" i="29"/>
  <c r="G162" i="29" s="1"/>
  <c r="C161" i="29"/>
  <c r="G161" i="29" s="1"/>
  <c r="C160" i="29"/>
  <c r="G160" i="29" s="1"/>
  <c r="C159" i="29"/>
  <c r="G159" i="29" s="1"/>
  <c r="H159" i="29" s="1"/>
  <c r="C153" i="29"/>
  <c r="C155" i="29" s="1"/>
  <c r="C145" i="29"/>
  <c r="G145" i="29" s="1"/>
  <c r="H145" i="29" s="1"/>
  <c r="C149" i="29"/>
  <c r="G149" i="29" s="1"/>
  <c r="I149" i="29" s="1"/>
  <c r="C148" i="29"/>
  <c r="G148" i="29" s="1"/>
  <c r="C147" i="29"/>
  <c r="G147" i="29" s="1"/>
  <c r="C146" i="29"/>
  <c r="G146" i="29" s="1"/>
  <c r="C139" i="29"/>
  <c r="C141" i="29" s="1"/>
  <c r="I103" i="29"/>
  <c r="F103" i="29"/>
  <c r="E103" i="29"/>
  <c r="D103" i="29"/>
  <c r="I102" i="29"/>
  <c r="F102" i="29"/>
  <c r="E102" i="29"/>
  <c r="D102" i="29"/>
  <c r="I101" i="29"/>
  <c r="F101" i="29"/>
  <c r="E101" i="29"/>
  <c r="D101" i="29"/>
  <c r="I100" i="29"/>
  <c r="F100" i="29"/>
  <c r="E100" i="29"/>
  <c r="D100" i="29"/>
  <c r="C96" i="29"/>
  <c r="C94" i="29"/>
  <c r="F93" i="29"/>
  <c r="B93" i="29"/>
  <c r="I90" i="29"/>
  <c r="F90" i="29"/>
  <c r="E90" i="29"/>
  <c r="D90" i="29"/>
  <c r="I89" i="29"/>
  <c r="F89" i="29"/>
  <c r="E89" i="29"/>
  <c r="D89" i="29"/>
  <c r="I88" i="29"/>
  <c r="F88" i="29"/>
  <c r="E88" i="29"/>
  <c r="D88" i="29"/>
  <c r="I87" i="29"/>
  <c r="F87" i="29"/>
  <c r="E87" i="29"/>
  <c r="D87" i="29"/>
  <c r="C83" i="29"/>
  <c r="C81" i="29"/>
  <c r="F80" i="29"/>
  <c r="B80" i="29"/>
  <c r="D77" i="29"/>
  <c r="E77" i="29"/>
  <c r="F77" i="29"/>
  <c r="I77" i="29"/>
  <c r="I76" i="29"/>
  <c r="F76" i="29"/>
  <c r="E76" i="29"/>
  <c r="D76" i="29"/>
  <c r="I75" i="29"/>
  <c r="F75" i="29"/>
  <c r="E75" i="29"/>
  <c r="D75" i="29"/>
  <c r="I74" i="29"/>
  <c r="F74" i="29"/>
  <c r="E74" i="29"/>
  <c r="D74" i="29"/>
  <c r="I73" i="29"/>
  <c r="F73" i="29"/>
  <c r="E73" i="29"/>
  <c r="D73" i="29"/>
  <c r="I72" i="29"/>
  <c r="F72" i="29"/>
  <c r="E72" i="29"/>
  <c r="D72" i="29"/>
  <c r="I71" i="29"/>
  <c r="F71" i="29"/>
  <c r="E71" i="29"/>
  <c r="D71" i="29"/>
  <c r="I70" i="29"/>
  <c r="F70" i="29"/>
  <c r="E70" i="29"/>
  <c r="D70" i="29"/>
  <c r="I69" i="29"/>
  <c r="F69" i="29"/>
  <c r="E69" i="29"/>
  <c r="D69" i="29"/>
  <c r="I68" i="29"/>
  <c r="F68" i="29"/>
  <c r="E68" i="29"/>
  <c r="D68" i="29"/>
  <c r="I67" i="29"/>
  <c r="F67" i="29"/>
  <c r="E67" i="29"/>
  <c r="D67" i="29"/>
  <c r="I66" i="29"/>
  <c r="F66" i="29"/>
  <c r="E66" i="29"/>
  <c r="D66" i="29"/>
  <c r="C62" i="29"/>
  <c r="C60" i="29"/>
  <c r="F59" i="29"/>
  <c r="B59" i="29"/>
  <c r="D46" i="29"/>
  <c r="E46" i="29"/>
  <c r="F46" i="29"/>
  <c r="I46" i="29"/>
  <c r="D47" i="29"/>
  <c r="E47" i="29"/>
  <c r="F47" i="29"/>
  <c r="I47" i="29"/>
  <c r="D48" i="29"/>
  <c r="E48" i="29"/>
  <c r="F48" i="29"/>
  <c r="I48" i="29"/>
  <c r="D49" i="29"/>
  <c r="E49" i="29"/>
  <c r="F49" i="29"/>
  <c r="I49" i="29"/>
  <c r="D50" i="29"/>
  <c r="E50" i="29"/>
  <c r="F50" i="29"/>
  <c r="I50" i="29"/>
  <c r="D51" i="29"/>
  <c r="E51" i="29"/>
  <c r="F51" i="29"/>
  <c r="I51" i="29"/>
  <c r="D52" i="29"/>
  <c r="E52" i="29"/>
  <c r="F52" i="29"/>
  <c r="I52" i="29"/>
  <c r="D53" i="29"/>
  <c r="E53" i="29"/>
  <c r="F53" i="29"/>
  <c r="I53" i="29"/>
  <c r="D54" i="29"/>
  <c r="E54" i="29"/>
  <c r="F54" i="29"/>
  <c r="I54" i="29"/>
  <c r="D55" i="29"/>
  <c r="E55" i="29"/>
  <c r="F55" i="29"/>
  <c r="I55" i="29"/>
  <c r="I45" i="29"/>
  <c r="F45" i="29"/>
  <c r="E45" i="29"/>
  <c r="D45" i="29"/>
  <c r="D29" i="29"/>
  <c r="F29" i="29"/>
  <c r="I29" i="29"/>
  <c r="D30" i="29"/>
  <c r="E30" i="29"/>
  <c r="F30" i="29"/>
  <c r="I30" i="29"/>
  <c r="D31" i="29"/>
  <c r="E31" i="29"/>
  <c r="F31" i="29"/>
  <c r="I31" i="29"/>
  <c r="D32" i="29"/>
  <c r="E32" i="29"/>
  <c r="F32" i="29"/>
  <c r="I32" i="29"/>
  <c r="D33" i="29"/>
  <c r="E33" i="29"/>
  <c r="F33" i="29"/>
  <c r="I33" i="29"/>
  <c r="D34" i="29"/>
  <c r="E34" i="29"/>
  <c r="F34" i="29"/>
  <c r="I34" i="29"/>
  <c r="D35" i="29"/>
  <c r="E35" i="29"/>
  <c r="F35" i="29"/>
  <c r="I35" i="29"/>
  <c r="I28" i="29"/>
  <c r="F28" i="29"/>
  <c r="E28" i="29"/>
  <c r="D28" i="29"/>
  <c r="D17" i="29"/>
  <c r="E17" i="29"/>
  <c r="F17" i="29"/>
  <c r="D14" i="29"/>
  <c r="D15" i="29"/>
  <c r="D16" i="29"/>
  <c r="D13" i="29"/>
  <c r="E14" i="29"/>
  <c r="E15" i="29"/>
  <c r="E16" i="29"/>
  <c r="E13" i="29"/>
  <c r="F14" i="29"/>
  <c r="F15" i="29"/>
  <c r="F16" i="29"/>
  <c r="F13" i="29"/>
  <c r="I14" i="29"/>
  <c r="I15" i="29"/>
  <c r="I16" i="29"/>
  <c r="I13" i="29"/>
  <c r="R121" i="29" a="1"/>
  <c r="R121" i="29" s="1"/>
  <c r="R122" i="29" a="1"/>
  <c r="R122" i="29" s="1"/>
  <c r="R125" i="29" a="1"/>
  <c r="R125" i="29" s="1"/>
  <c r="R126" i="29" a="1"/>
  <c r="R126" i="29" s="1"/>
  <c r="R127" i="29" a="1"/>
  <c r="R127" i="29" s="1"/>
  <c r="R128" i="29" a="1"/>
  <c r="R128" i="29" s="1"/>
  <c r="R131" i="29" a="1"/>
  <c r="R131" i="29" s="1"/>
  <c r="R132" i="29" a="1"/>
  <c r="R132" i="29" s="1"/>
  <c r="R133" i="29" a="1"/>
  <c r="R133" i="29" s="1"/>
  <c r="R134" i="29" a="1"/>
  <c r="R134" i="29" s="1"/>
  <c r="R135" i="29" a="1"/>
  <c r="R135" i="29" s="1"/>
  <c r="R136" i="29" a="1"/>
  <c r="R136" i="29" s="1"/>
  <c r="R137" i="29" a="1"/>
  <c r="R137" i="29" s="1"/>
  <c r="R138" i="29" a="1"/>
  <c r="R138" i="29" s="1"/>
  <c r="R120" i="29" a="1"/>
  <c r="R120" i="29" s="1"/>
  <c r="M116" i="29"/>
  <c r="H73" i="29" s="1"/>
  <c r="M108" i="29"/>
  <c r="M107" i="29"/>
  <c r="M109" i="29" s="1"/>
  <c r="M104" i="29"/>
  <c r="H103" i="29" s="1"/>
  <c r="M96" i="29"/>
  <c r="M103" i="29" s="1"/>
  <c r="H101" i="29" s="1"/>
  <c r="M100" i="29"/>
  <c r="H88" i="29" s="1"/>
  <c r="M102" i="29"/>
  <c r="H90" i="29" s="1"/>
  <c r="M95" i="29"/>
  <c r="M111" i="29" s="1"/>
  <c r="M112" i="29" s="1"/>
  <c r="M91" i="29"/>
  <c r="M89" i="29"/>
  <c r="M78" i="29"/>
  <c r="M77" i="29"/>
  <c r="M80" i="29"/>
  <c r="M76" i="29" s="1"/>
  <c r="S82" i="29"/>
  <c r="E29" i="29" s="1"/>
  <c r="M71" i="29"/>
  <c r="H71" i="29" s="1"/>
  <c r="M65" i="29"/>
  <c r="M64" i="29"/>
  <c r="M70" i="29" s="1"/>
  <c r="M53" i="29"/>
  <c r="H52" i="29" s="1"/>
  <c r="M42" i="29"/>
  <c r="M47" i="29"/>
  <c r="M45" i="29" s="1"/>
  <c r="H72" i="29" s="1"/>
  <c r="M49" i="29"/>
  <c r="H35" i="29" s="1"/>
  <c r="M44" i="29"/>
  <c r="H34" i="29" s="1"/>
  <c r="M40" i="29"/>
  <c r="M36" i="29"/>
  <c r="M34" i="29" s="1"/>
  <c r="M32" i="29" s="1"/>
  <c r="M13" i="29" s="1"/>
  <c r="M7" i="29" s="1"/>
  <c r="M35" i="29"/>
  <c r="H33" i="29" s="1"/>
  <c r="H32" i="29"/>
  <c r="M24" i="29"/>
  <c r="M22" i="29" s="1"/>
  <c r="I17" i="29"/>
  <c r="M23" i="29"/>
  <c r="M17" i="29"/>
  <c r="M11" i="29" s="1"/>
  <c r="M5" i="29" s="1"/>
  <c r="W38" i="29"/>
  <c r="W39" i="29" s="1"/>
  <c r="W40" i="29" s="1"/>
  <c r="W41" i="29" s="1"/>
  <c r="W42" i="29" s="1"/>
  <c r="W43" i="29" s="1"/>
  <c r="W44" i="29" s="1"/>
  <c r="W45" i="29" s="1"/>
  <c r="H343" i="29" l="1"/>
  <c r="C100" i="29"/>
  <c r="C102" i="29"/>
  <c r="H300" i="29"/>
  <c r="M110" i="29"/>
  <c r="C101" i="29"/>
  <c r="H147" i="29"/>
  <c r="H174" i="29"/>
  <c r="H230" i="29"/>
  <c r="H286" i="29"/>
  <c r="H315" i="29"/>
  <c r="H148" i="29"/>
  <c r="H175" i="29"/>
  <c r="H231" i="29"/>
  <c r="H259" i="29"/>
  <c r="H287" i="29"/>
  <c r="H176" i="29"/>
  <c r="H232" i="29"/>
  <c r="H345" i="29"/>
  <c r="H327" i="29"/>
  <c r="H355" i="29"/>
  <c r="H356" i="29"/>
  <c r="H160" i="29"/>
  <c r="H244" i="29"/>
  <c r="H272" i="29"/>
  <c r="H329" i="29"/>
  <c r="H245" i="29"/>
  <c r="H273" i="29"/>
  <c r="H246" i="29"/>
  <c r="H331" i="29"/>
  <c r="AB72" i="29" a="1"/>
  <c r="AB72" i="29" s="1"/>
  <c r="H341" i="29"/>
  <c r="H146" i="29"/>
  <c r="H257" i="29"/>
  <c r="H314" i="29"/>
  <c r="C467" i="29"/>
  <c r="H100" i="29"/>
  <c r="Z64" i="29"/>
  <c r="AB71" i="29" a="1"/>
  <c r="AB71" i="29" s="1"/>
  <c r="Z63" i="29"/>
  <c r="AB70" i="29" a="1"/>
  <c r="AB70" i="29" s="1"/>
  <c r="C477" i="29"/>
  <c r="Z73" i="29"/>
  <c r="AB69" i="29" a="1"/>
  <c r="AB69" i="29" s="1"/>
  <c r="F365" i="29"/>
  <c r="AB61" i="29" a="1"/>
  <c r="AB61" i="29" s="1"/>
  <c r="AB76" i="29" a="1"/>
  <c r="AB76" i="29" s="1"/>
  <c r="C367" i="29"/>
  <c r="C489" i="29"/>
  <c r="AB78" i="29" a="1"/>
  <c r="AB78" i="29" s="1"/>
  <c r="AB68" i="29" a="1"/>
  <c r="AB68" i="29" s="1"/>
  <c r="E366" i="29"/>
  <c r="AB74" i="29" a="1"/>
  <c r="AB74" i="29" s="1"/>
  <c r="H49" i="29"/>
  <c r="E432" i="29"/>
  <c r="C499" i="29"/>
  <c r="AB65" i="29" a="1"/>
  <c r="AB65" i="29" s="1"/>
  <c r="AB66" i="29" a="1"/>
  <c r="AB66" i="29" s="1"/>
  <c r="H48" i="29"/>
  <c r="F138" i="29"/>
  <c r="H373" i="29"/>
  <c r="AB64" i="29" a="1"/>
  <c r="AB64" i="29" s="1"/>
  <c r="AB77" i="29" a="1"/>
  <c r="AB77" i="29" s="1"/>
  <c r="C445" i="29"/>
  <c r="E509" i="29"/>
  <c r="AB63" i="29" a="1"/>
  <c r="AB63" i="29" s="1"/>
  <c r="AB75" i="29" a="1"/>
  <c r="AB75" i="29" s="1"/>
  <c r="AB73" i="29" a="1"/>
  <c r="AB73" i="29" s="1"/>
  <c r="AB67" i="29" a="1"/>
  <c r="AB67" i="29" s="1"/>
  <c r="C456" i="29"/>
  <c r="C522" i="29"/>
  <c r="AB62" i="29" a="1"/>
  <c r="AB62" i="29" s="1"/>
  <c r="Z65" i="29"/>
  <c r="Z67" i="29"/>
  <c r="Z75" i="29"/>
  <c r="Z77" i="29"/>
  <c r="Z72" i="29"/>
  <c r="Z71" i="29"/>
  <c r="Z70" i="29"/>
  <c r="Z61" i="29"/>
  <c r="Z69" i="29"/>
  <c r="Z76" i="29"/>
  <c r="Z68" i="29"/>
  <c r="Z74" i="29"/>
  <c r="Z66" i="29"/>
  <c r="Z78" i="29"/>
  <c r="Z62" i="29"/>
  <c r="C70" i="29"/>
  <c r="C103" i="29"/>
  <c r="C372" i="29"/>
  <c r="G372" i="29" s="1"/>
  <c r="H372" i="29" s="1"/>
  <c r="C478" i="29"/>
  <c r="M113" i="29"/>
  <c r="M114" i="29" s="1"/>
  <c r="H76" i="29" s="1"/>
  <c r="M115" i="29"/>
  <c r="H77" i="29" s="1"/>
  <c r="C433" i="29"/>
  <c r="C434" i="29"/>
  <c r="C71" i="29"/>
  <c r="C74" i="29"/>
  <c r="C72" i="29"/>
  <c r="M39" i="29"/>
  <c r="M14" i="29" s="1"/>
  <c r="M8" i="29" s="1"/>
  <c r="F453" i="29"/>
  <c r="C140" i="29"/>
  <c r="C73" i="29"/>
  <c r="C527" i="29"/>
  <c r="G527" i="29" s="1"/>
  <c r="H527" i="29" s="1"/>
  <c r="C526" i="29"/>
  <c r="G526" i="29" s="1"/>
  <c r="H526" i="29" s="1"/>
  <c r="F519" i="29"/>
  <c r="E520" i="29"/>
  <c r="C521" i="29"/>
  <c r="C516" i="29"/>
  <c r="G516" i="29" s="1"/>
  <c r="C515" i="29"/>
  <c r="G515" i="29" s="1"/>
  <c r="C510" i="29"/>
  <c r="C511" i="29"/>
  <c r="F508" i="29"/>
  <c r="C505" i="29"/>
  <c r="G505" i="29" s="1"/>
  <c r="H505" i="29" s="1"/>
  <c r="C504" i="29"/>
  <c r="G504" i="29" s="1"/>
  <c r="H504" i="29" s="1"/>
  <c r="F497" i="29"/>
  <c r="E498" i="29"/>
  <c r="C500" i="29"/>
  <c r="C493" i="29"/>
  <c r="G493" i="29" s="1"/>
  <c r="H493" i="29" s="1"/>
  <c r="C494" i="29"/>
  <c r="G494" i="29" s="1"/>
  <c r="H494" i="29" s="1"/>
  <c r="F486" i="29"/>
  <c r="E487" i="29"/>
  <c r="C488" i="29"/>
  <c r="C483" i="29"/>
  <c r="G483" i="29" s="1"/>
  <c r="H483" i="29" s="1"/>
  <c r="C482" i="29"/>
  <c r="G482" i="29" s="1"/>
  <c r="H482" i="29" s="1"/>
  <c r="F475" i="29"/>
  <c r="E476" i="29"/>
  <c r="C472" i="29"/>
  <c r="G472" i="29" s="1"/>
  <c r="H472" i="29" s="1"/>
  <c r="C471" i="29"/>
  <c r="G471" i="29" s="1"/>
  <c r="H471" i="29" s="1"/>
  <c r="F464" i="29"/>
  <c r="E465" i="29"/>
  <c r="C466" i="29"/>
  <c r="C461" i="29"/>
  <c r="G461" i="29" s="1"/>
  <c r="H461" i="29" s="1"/>
  <c r="C460" i="29"/>
  <c r="G460" i="29" s="1"/>
  <c r="H460" i="29" s="1"/>
  <c r="E454" i="29"/>
  <c r="C455" i="29"/>
  <c r="C450" i="29"/>
  <c r="G450" i="29" s="1"/>
  <c r="H450" i="29" s="1"/>
  <c r="C449" i="29"/>
  <c r="G449" i="29" s="1"/>
  <c r="H449" i="29" s="1"/>
  <c r="F442" i="29"/>
  <c r="E443" i="29"/>
  <c r="C444" i="29"/>
  <c r="C439" i="29"/>
  <c r="G439" i="29" s="1"/>
  <c r="H439" i="29" s="1"/>
  <c r="C438" i="29"/>
  <c r="G438" i="29" s="1"/>
  <c r="H438" i="29" s="1"/>
  <c r="F431" i="29"/>
  <c r="C428" i="29"/>
  <c r="G428" i="29" s="1"/>
  <c r="C427" i="29"/>
  <c r="G427" i="29" s="1"/>
  <c r="C423" i="29"/>
  <c r="F420" i="29"/>
  <c r="E421" i="29"/>
  <c r="C417" i="29"/>
  <c r="G417" i="29" s="1"/>
  <c r="C416" i="29"/>
  <c r="G416" i="29" s="1"/>
  <c r="F409" i="29"/>
  <c r="E410" i="29"/>
  <c r="C411" i="29"/>
  <c r="C406" i="29"/>
  <c r="G406" i="29" s="1"/>
  <c r="C405" i="29"/>
  <c r="G405" i="29" s="1"/>
  <c r="E399" i="29"/>
  <c r="F398" i="29"/>
  <c r="C400" i="29"/>
  <c r="C395" i="29"/>
  <c r="G395" i="29" s="1"/>
  <c r="H395" i="29" s="1"/>
  <c r="C394" i="29"/>
  <c r="G394" i="29" s="1"/>
  <c r="H394" i="29" s="1"/>
  <c r="F387" i="29"/>
  <c r="E388" i="29"/>
  <c r="C389" i="29"/>
  <c r="C384" i="29"/>
  <c r="G384" i="29" s="1"/>
  <c r="C383" i="29"/>
  <c r="G383" i="29" s="1"/>
  <c r="F376" i="29"/>
  <c r="E377" i="29"/>
  <c r="C378" i="29"/>
  <c r="D373" i="29"/>
  <c r="I373" i="29"/>
  <c r="E373" i="29"/>
  <c r="F373" i="29"/>
  <c r="I355" i="29"/>
  <c r="F355" i="29"/>
  <c r="E355" i="29"/>
  <c r="D355" i="29"/>
  <c r="I356" i="29"/>
  <c r="F356" i="29"/>
  <c r="E356" i="29"/>
  <c r="D356" i="29"/>
  <c r="I357" i="29"/>
  <c r="F357" i="29"/>
  <c r="E357" i="29"/>
  <c r="D357" i="29"/>
  <c r="I358" i="29"/>
  <c r="F358" i="29"/>
  <c r="E358" i="29"/>
  <c r="D358" i="29"/>
  <c r="I359" i="29"/>
  <c r="F359" i="29"/>
  <c r="E359" i="29"/>
  <c r="D359" i="29"/>
  <c r="F348" i="29"/>
  <c r="C350" i="29"/>
  <c r="I341" i="29"/>
  <c r="F341" i="29"/>
  <c r="E341" i="29"/>
  <c r="D341" i="29"/>
  <c r="I342" i="29"/>
  <c r="F342" i="29"/>
  <c r="E342" i="29"/>
  <c r="D342" i="29"/>
  <c r="I343" i="29"/>
  <c r="F343" i="29"/>
  <c r="E343" i="29"/>
  <c r="D343" i="29"/>
  <c r="I344" i="29"/>
  <c r="F344" i="29"/>
  <c r="E344" i="29"/>
  <c r="D344" i="29"/>
  <c r="I345" i="29"/>
  <c r="F345" i="29"/>
  <c r="E345" i="29"/>
  <c r="D345" i="29"/>
  <c r="F334" i="29"/>
  <c r="C336" i="29"/>
  <c r="I328" i="29"/>
  <c r="F328" i="29"/>
  <c r="E328" i="29"/>
  <c r="D328" i="29"/>
  <c r="I329" i="29"/>
  <c r="F329" i="29"/>
  <c r="E329" i="29"/>
  <c r="D329" i="29"/>
  <c r="E330" i="29"/>
  <c r="I330" i="29"/>
  <c r="F330" i="29"/>
  <c r="D330" i="29"/>
  <c r="I327" i="29"/>
  <c r="F327" i="29"/>
  <c r="E327" i="29"/>
  <c r="D327" i="29"/>
  <c r="I331" i="29"/>
  <c r="F331" i="29"/>
  <c r="E331" i="29"/>
  <c r="D331" i="29"/>
  <c r="C322" i="29"/>
  <c r="C323" i="29"/>
  <c r="I313" i="29"/>
  <c r="F313" i="29"/>
  <c r="E313" i="29"/>
  <c r="D313" i="29"/>
  <c r="I314" i="29"/>
  <c r="F314" i="29"/>
  <c r="E314" i="29"/>
  <c r="D314" i="29"/>
  <c r="I317" i="29"/>
  <c r="F317" i="29"/>
  <c r="E317" i="29"/>
  <c r="D317" i="29"/>
  <c r="I315" i="29"/>
  <c r="F315" i="29"/>
  <c r="E315" i="29"/>
  <c r="D315" i="29"/>
  <c r="I316" i="29"/>
  <c r="F316" i="29"/>
  <c r="E316" i="29"/>
  <c r="D316" i="29"/>
  <c r="F306" i="29"/>
  <c r="C308" i="29"/>
  <c r="I299" i="29"/>
  <c r="D299" i="29"/>
  <c r="F299" i="29"/>
  <c r="E299" i="29"/>
  <c r="I300" i="29"/>
  <c r="F300" i="29"/>
  <c r="E300" i="29"/>
  <c r="D300" i="29"/>
  <c r="I301" i="29"/>
  <c r="F301" i="29"/>
  <c r="D301" i="29"/>
  <c r="E301" i="29"/>
  <c r="D302" i="29"/>
  <c r="I302" i="29"/>
  <c r="E302" i="29"/>
  <c r="F302" i="29"/>
  <c r="I303" i="29"/>
  <c r="F303" i="29"/>
  <c r="E303" i="29"/>
  <c r="D303" i="29"/>
  <c r="F292" i="29"/>
  <c r="C294" i="29"/>
  <c r="I285" i="29"/>
  <c r="F285" i="29"/>
  <c r="E285" i="29"/>
  <c r="D285" i="29"/>
  <c r="I286" i="29"/>
  <c r="F286" i="29"/>
  <c r="E286" i="29"/>
  <c r="D286" i="29"/>
  <c r="I287" i="29"/>
  <c r="F287" i="29"/>
  <c r="E287" i="29"/>
  <c r="D287" i="29"/>
  <c r="I288" i="29"/>
  <c r="F288" i="29"/>
  <c r="E288" i="29"/>
  <c r="D288" i="29"/>
  <c r="I289" i="29"/>
  <c r="F289" i="29"/>
  <c r="E289" i="29"/>
  <c r="D289" i="29"/>
  <c r="F278" i="29"/>
  <c r="C280" i="29"/>
  <c r="F236" i="29"/>
  <c r="C238" i="29"/>
  <c r="F180" i="29"/>
  <c r="I271" i="29"/>
  <c r="F271" i="29"/>
  <c r="E271" i="29"/>
  <c r="D271" i="29"/>
  <c r="I273" i="29"/>
  <c r="F273" i="29"/>
  <c r="E273" i="29"/>
  <c r="D273" i="29"/>
  <c r="I274" i="29"/>
  <c r="F274" i="29"/>
  <c r="E274" i="29"/>
  <c r="D274" i="29"/>
  <c r="I272" i="29"/>
  <c r="F272" i="29"/>
  <c r="D272" i="29"/>
  <c r="E272" i="29"/>
  <c r="I275" i="29"/>
  <c r="F275" i="29"/>
  <c r="E275" i="29"/>
  <c r="D275" i="29"/>
  <c r="F264" i="29"/>
  <c r="C266" i="29"/>
  <c r="I257" i="29"/>
  <c r="F257" i="29"/>
  <c r="E257" i="29"/>
  <c r="D257" i="29"/>
  <c r="I258" i="29"/>
  <c r="F258" i="29"/>
  <c r="E258" i="29"/>
  <c r="D258" i="29"/>
  <c r="I259" i="29"/>
  <c r="F259" i="29"/>
  <c r="E259" i="29"/>
  <c r="D259" i="29"/>
  <c r="I260" i="29"/>
  <c r="F260" i="29"/>
  <c r="E260" i="29"/>
  <c r="D260" i="29"/>
  <c r="I261" i="29"/>
  <c r="F261" i="29"/>
  <c r="E261" i="29"/>
  <c r="D261" i="29"/>
  <c r="F250" i="29"/>
  <c r="C252" i="29"/>
  <c r="I243" i="29"/>
  <c r="F243" i="29"/>
  <c r="E243" i="29"/>
  <c r="D243" i="29"/>
  <c r="I244" i="29"/>
  <c r="F244" i="29"/>
  <c r="E244" i="29"/>
  <c r="D244" i="29"/>
  <c r="I245" i="29"/>
  <c r="F245" i="29"/>
  <c r="E245" i="29"/>
  <c r="D245" i="29"/>
  <c r="I246" i="29"/>
  <c r="F246" i="29"/>
  <c r="E246" i="29"/>
  <c r="D246" i="29"/>
  <c r="I247" i="29"/>
  <c r="F247" i="29"/>
  <c r="E247" i="29"/>
  <c r="D247" i="29"/>
  <c r="I229" i="29"/>
  <c r="F229" i="29"/>
  <c r="E229" i="29"/>
  <c r="D229" i="29"/>
  <c r="I230" i="29"/>
  <c r="F230" i="29"/>
  <c r="E230" i="29"/>
  <c r="D230" i="29"/>
  <c r="I231" i="29"/>
  <c r="F231" i="29"/>
  <c r="E231" i="29"/>
  <c r="D231" i="29"/>
  <c r="F232" i="29"/>
  <c r="I232" i="29"/>
  <c r="E232" i="29"/>
  <c r="D232" i="29"/>
  <c r="I233" i="29"/>
  <c r="F233" i="29"/>
  <c r="E233" i="29"/>
  <c r="D233" i="29"/>
  <c r="F222" i="29"/>
  <c r="C224" i="29"/>
  <c r="I215" i="29"/>
  <c r="F215" i="29"/>
  <c r="E215" i="29"/>
  <c r="D215" i="29"/>
  <c r="F216" i="29"/>
  <c r="I216" i="29"/>
  <c r="E216" i="29"/>
  <c r="D216" i="29"/>
  <c r="I217" i="29"/>
  <c r="F217" i="29"/>
  <c r="E217" i="29"/>
  <c r="D217" i="29"/>
  <c r="F218" i="29"/>
  <c r="I218" i="29"/>
  <c r="E218" i="29"/>
  <c r="D218" i="29"/>
  <c r="I219" i="29"/>
  <c r="F219" i="29"/>
  <c r="E219" i="29"/>
  <c r="D219" i="29"/>
  <c r="F208" i="29"/>
  <c r="C210" i="29"/>
  <c r="E202" i="29"/>
  <c r="I202" i="29"/>
  <c r="F202" i="29"/>
  <c r="D202" i="29"/>
  <c r="I203" i="29"/>
  <c r="F203" i="29"/>
  <c r="E203" i="29"/>
  <c r="D203" i="29"/>
  <c r="I204" i="29"/>
  <c r="E204" i="29"/>
  <c r="F204" i="29"/>
  <c r="D204" i="29"/>
  <c r="I201" i="29"/>
  <c r="F201" i="29"/>
  <c r="E201" i="29"/>
  <c r="D201" i="29"/>
  <c r="I205" i="29"/>
  <c r="F205" i="29"/>
  <c r="E205" i="29"/>
  <c r="D205" i="29"/>
  <c r="F194" i="29"/>
  <c r="C196" i="29"/>
  <c r="I187" i="29"/>
  <c r="F187" i="29"/>
  <c r="E187" i="29"/>
  <c r="D187" i="29"/>
  <c r="I188" i="29"/>
  <c r="E188" i="29"/>
  <c r="F188" i="29"/>
  <c r="D188" i="29"/>
  <c r="I189" i="29"/>
  <c r="F189" i="29"/>
  <c r="D189" i="29"/>
  <c r="E189" i="29"/>
  <c r="I190" i="29"/>
  <c r="D190" i="29"/>
  <c r="F190" i="29"/>
  <c r="E190" i="29"/>
  <c r="I191" i="29"/>
  <c r="F191" i="29"/>
  <c r="E191" i="29"/>
  <c r="D191" i="29"/>
  <c r="C182" i="29"/>
  <c r="I173" i="29"/>
  <c r="E173" i="29"/>
  <c r="F173" i="29"/>
  <c r="D173" i="29"/>
  <c r="I174" i="29"/>
  <c r="E174" i="29"/>
  <c r="D174" i="29"/>
  <c r="F174" i="29"/>
  <c r="I175" i="29"/>
  <c r="E175" i="29"/>
  <c r="F175" i="29"/>
  <c r="D175" i="29"/>
  <c r="I176" i="29"/>
  <c r="D176" i="29"/>
  <c r="F176" i="29"/>
  <c r="E176" i="29"/>
  <c r="I177" i="29"/>
  <c r="E177" i="29"/>
  <c r="F177" i="29"/>
  <c r="D177" i="29"/>
  <c r="C168" i="29"/>
  <c r="F166" i="29"/>
  <c r="I159" i="29"/>
  <c r="F159" i="29"/>
  <c r="D159" i="29"/>
  <c r="E159" i="29"/>
  <c r="F160" i="29"/>
  <c r="I160" i="29"/>
  <c r="E160" i="29"/>
  <c r="D160" i="29"/>
  <c r="I162" i="29"/>
  <c r="F162" i="29"/>
  <c r="D162" i="29"/>
  <c r="E162" i="29"/>
  <c r="I161" i="29"/>
  <c r="D161" i="29"/>
  <c r="F161" i="29"/>
  <c r="E161" i="29"/>
  <c r="I163" i="29"/>
  <c r="F163" i="29"/>
  <c r="E163" i="29"/>
  <c r="D163" i="29"/>
  <c r="C154" i="29"/>
  <c r="F152" i="29"/>
  <c r="D145" i="29"/>
  <c r="F145" i="29"/>
  <c r="E145" i="29"/>
  <c r="I145" i="29"/>
  <c r="F148" i="29"/>
  <c r="D148" i="29"/>
  <c r="I148" i="29"/>
  <c r="E148" i="29"/>
  <c r="E147" i="29"/>
  <c r="I147" i="29"/>
  <c r="D147" i="29"/>
  <c r="F147" i="29"/>
  <c r="F146" i="29"/>
  <c r="I146" i="29"/>
  <c r="F149" i="29"/>
  <c r="E149" i="29"/>
  <c r="D149" i="29"/>
  <c r="D146" i="29"/>
  <c r="E146" i="29"/>
  <c r="C90" i="29"/>
  <c r="C89" i="29"/>
  <c r="C88" i="29"/>
  <c r="C87" i="29"/>
  <c r="C75" i="29"/>
  <c r="C69" i="29"/>
  <c r="C68" i="29"/>
  <c r="C67" i="29"/>
  <c r="C66" i="29"/>
  <c r="C77" i="29"/>
  <c r="C76" i="29"/>
  <c r="M93" i="29"/>
  <c r="M90" i="29" s="1"/>
  <c r="M88" i="29" s="1"/>
  <c r="M75" i="29"/>
  <c r="M15" i="29" s="1"/>
  <c r="M9" i="29" s="1"/>
  <c r="M21" i="29"/>
  <c r="M12" i="29" s="1"/>
  <c r="M6" i="29" s="1"/>
  <c r="B38" i="29"/>
  <c r="C41" i="29"/>
  <c r="C39" i="29"/>
  <c r="C51" i="29" s="1"/>
  <c r="F38" i="29"/>
  <c r="C24" i="29"/>
  <c r="C22" i="29"/>
  <c r="C30" i="29" s="1"/>
  <c r="F21" i="29"/>
  <c r="B21" i="29"/>
  <c r="C9" i="29"/>
  <c r="C7" i="29"/>
  <c r="F6" i="29"/>
  <c r="B6" i="29"/>
  <c r="H516" i="29" l="1"/>
  <c r="M16" i="29"/>
  <c r="H428" i="29" s="1"/>
  <c r="H218" i="29"/>
  <c r="H383" i="29"/>
  <c r="H384" i="29"/>
  <c r="H162" i="29"/>
  <c r="H416" i="29"/>
  <c r="H190" i="29"/>
  <c r="H417" i="29"/>
  <c r="H302" i="29"/>
  <c r="D372" i="29"/>
  <c r="E372" i="29"/>
  <c r="H189" i="29"/>
  <c r="F372" i="29"/>
  <c r="H161" i="29"/>
  <c r="I372" i="29"/>
  <c r="H515" i="29"/>
  <c r="C47" i="29"/>
  <c r="H301" i="29"/>
  <c r="H203" i="29"/>
  <c r="H405" i="29"/>
  <c r="H204" i="29"/>
  <c r="H406" i="29"/>
  <c r="H316" i="29"/>
  <c r="C32" i="29"/>
  <c r="C29" i="29"/>
  <c r="C49" i="29"/>
  <c r="C50" i="29"/>
  <c r="C35" i="29"/>
  <c r="C53" i="29"/>
  <c r="C31" i="29"/>
  <c r="C33" i="29"/>
  <c r="C18" i="29"/>
  <c r="C17" i="29"/>
  <c r="C45" i="29"/>
  <c r="C56" i="29"/>
  <c r="C48" i="29"/>
  <c r="C54" i="29"/>
  <c r="C46" i="29"/>
  <c r="C55" i="29"/>
  <c r="C52" i="29"/>
  <c r="C34" i="29"/>
  <c r="I527" i="29"/>
  <c r="F527" i="29"/>
  <c r="E527" i="29"/>
  <c r="D527" i="29"/>
  <c r="I526" i="29"/>
  <c r="F526" i="29"/>
  <c r="E526" i="29"/>
  <c r="D526" i="29"/>
  <c r="I515" i="29"/>
  <c r="F515" i="29"/>
  <c r="E515" i="29"/>
  <c r="D515" i="29"/>
  <c r="I516" i="29"/>
  <c r="D516" i="29"/>
  <c r="F516" i="29"/>
  <c r="E516" i="29"/>
  <c r="I504" i="29"/>
  <c r="F504" i="29"/>
  <c r="E504" i="29"/>
  <c r="D504" i="29"/>
  <c r="I505" i="29"/>
  <c r="F505" i="29"/>
  <c r="E505" i="29"/>
  <c r="D505" i="29"/>
  <c r="I494" i="29"/>
  <c r="F494" i="29"/>
  <c r="E494" i="29"/>
  <c r="D494" i="29"/>
  <c r="I493" i="29"/>
  <c r="D493" i="29"/>
  <c r="F493" i="29"/>
  <c r="E493" i="29"/>
  <c r="I482" i="29"/>
  <c r="F482" i="29"/>
  <c r="E482" i="29"/>
  <c r="D482" i="29"/>
  <c r="I483" i="29"/>
  <c r="F483" i="29"/>
  <c r="E483" i="29"/>
  <c r="D483" i="29"/>
  <c r="I471" i="29"/>
  <c r="F471" i="29"/>
  <c r="E471" i="29"/>
  <c r="D471" i="29"/>
  <c r="F472" i="29"/>
  <c r="E472" i="29"/>
  <c r="D472" i="29"/>
  <c r="I472" i="29"/>
  <c r="D460" i="29"/>
  <c r="I460" i="29"/>
  <c r="F460" i="29"/>
  <c r="E460" i="29"/>
  <c r="I461" i="29"/>
  <c r="F461" i="29"/>
  <c r="E461" i="29"/>
  <c r="D461" i="29"/>
  <c r="I449" i="29"/>
  <c r="F449" i="29"/>
  <c r="E449" i="29"/>
  <c r="D449" i="29"/>
  <c r="I450" i="29"/>
  <c r="F450" i="29"/>
  <c r="E450" i="29"/>
  <c r="D450" i="29"/>
  <c r="E438" i="29"/>
  <c r="F438" i="29"/>
  <c r="I438" i="29"/>
  <c r="D438" i="29"/>
  <c r="I439" i="29"/>
  <c r="D439" i="29"/>
  <c r="E439" i="29"/>
  <c r="F439" i="29"/>
  <c r="I427" i="29"/>
  <c r="F427" i="29"/>
  <c r="E427" i="29"/>
  <c r="D427" i="29"/>
  <c r="F428" i="29"/>
  <c r="D428" i="29"/>
  <c r="E428" i="29"/>
  <c r="I428" i="29"/>
  <c r="I417" i="29"/>
  <c r="F417" i="29"/>
  <c r="E417" i="29"/>
  <c r="D417" i="29"/>
  <c r="I416" i="29"/>
  <c r="F416" i="29"/>
  <c r="E416" i="29"/>
  <c r="D416" i="29"/>
  <c r="I405" i="29"/>
  <c r="F405" i="29"/>
  <c r="E405" i="29"/>
  <c r="D405" i="29"/>
  <c r="I406" i="29"/>
  <c r="F406" i="29"/>
  <c r="E406" i="29"/>
  <c r="D406" i="29"/>
  <c r="I394" i="29"/>
  <c r="F394" i="29"/>
  <c r="E394" i="29"/>
  <c r="D394" i="29"/>
  <c r="I395" i="29"/>
  <c r="F395" i="29"/>
  <c r="E395" i="29"/>
  <c r="D395" i="29"/>
  <c r="F383" i="29"/>
  <c r="I383" i="29"/>
  <c r="E383" i="29"/>
  <c r="D383" i="29"/>
  <c r="I384" i="29"/>
  <c r="F384" i="29"/>
  <c r="E384" i="29"/>
  <c r="D384" i="29"/>
  <c r="C16" i="29"/>
  <c r="C28" i="29"/>
  <c r="C14" i="29"/>
  <c r="C15" i="29"/>
  <c r="C13" i="29"/>
  <c r="O134" i="29" l="1" a="1"/>
  <c r="O134" i="29" s="1"/>
  <c r="O137" i="29" a="1"/>
  <c r="O137" i="29" s="1"/>
  <c r="O122" i="29" a="1"/>
  <c r="O122" i="29" s="1"/>
  <c r="O131" i="29" a="1"/>
  <c r="O131" i="29" s="1"/>
  <c r="O132" i="29" a="1"/>
  <c r="O132" i="29" s="1"/>
  <c r="O136" i="29" a="1"/>
  <c r="O136" i="29" s="1"/>
  <c r="O126" i="29" a="1"/>
  <c r="O126" i="29" s="1"/>
  <c r="O135" i="29" a="1"/>
  <c r="O135" i="29" s="1"/>
  <c r="O121" i="29" a="1"/>
  <c r="O121" i="29" s="1"/>
  <c r="O128" i="29" a="1"/>
  <c r="O128" i="29" s="1"/>
  <c r="O125" i="29" a="1"/>
  <c r="O125" i="29" s="1"/>
  <c r="O127" i="29" a="1"/>
  <c r="O127" i="29" s="1"/>
  <c r="O133" i="29" a="1"/>
  <c r="O133" i="29" s="1"/>
  <c r="O120" i="29" a="1"/>
  <c r="O120" i="29" s="1"/>
  <c r="O138" i="29" a="1"/>
  <c r="O138" i="29" s="1"/>
  <c r="M10" i="29"/>
  <c r="H427" i="29" s="1"/>
  <c r="H217" i="29"/>
  <c r="Y81" i="29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<sst xmlns="http://schemas.openxmlformats.org/spreadsheetml/2006/main" count="1469" uniqueCount="652">
  <si>
    <t>CONNECTOR</t>
  </si>
  <si>
    <t>BOOT</t>
  </si>
  <si>
    <t>SCL</t>
  </si>
  <si>
    <t>NOTES</t>
  </si>
  <si>
    <t>Location</t>
  </si>
  <si>
    <t>Pin</t>
  </si>
  <si>
    <t>B</t>
  </si>
  <si>
    <t>C</t>
  </si>
  <si>
    <t>DTM04-8P</t>
  </si>
  <si>
    <t>Sub-Harness - Sensors</t>
  </si>
  <si>
    <t>#</t>
  </si>
  <si>
    <t>Line</t>
  </si>
  <si>
    <t>J.1.1</t>
  </si>
  <si>
    <t>J</t>
  </si>
  <si>
    <t>Junction</t>
  </si>
  <si>
    <t>P</t>
  </si>
  <si>
    <t>Connector</t>
  </si>
  <si>
    <t>L</t>
  </si>
  <si>
    <t>Connection Method</t>
  </si>
  <si>
    <t>(code)</t>
  </si>
  <si>
    <t>Harness</t>
  </si>
  <si>
    <t>(harness)</t>
  </si>
  <si>
    <t>Lines</t>
  </si>
  <si>
    <t>S = Same as feed</t>
  </si>
  <si>
    <t>(Harness) Codes</t>
  </si>
  <si>
    <t>(Type Number)</t>
  </si>
  <si>
    <t>Code</t>
  </si>
  <si>
    <t>Sub Harness - Sensors</t>
  </si>
  <si>
    <t>Junction # 1</t>
  </si>
  <si>
    <t>Example:</t>
  </si>
  <si>
    <t>Code Type</t>
  </si>
  <si>
    <t>Pin # 2</t>
  </si>
  <si>
    <t>Line #</t>
  </si>
  <si>
    <t>End 1</t>
  </si>
  <si>
    <t>End 2</t>
  </si>
  <si>
    <t>Description</t>
  </si>
  <si>
    <t>AWG</t>
  </si>
  <si>
    <t>Color (Base / Stripe)</t>
  </si>
  <si>
    <t>Notes</t>
  </si>
  <si>
    <t>GREEN</t>
  </si>
  <si>
    <t>- Misc</t>
  </si>
  <si>
    <t>On Connector 1</t>
  </si>
  <si>
    <t>P.1.2-C1</t>
  </si>
  <si>
    <t>If - is C1, C5 , etc. represents same harness</t>
  </si>
  <si>
    <t>If not same harness, full connector naming applied: i.e.; C.3.1 or C.5.9</t>
  </si>
  <si>
    <t>BLACK</t>
  </si>
  <si>
    <t>YELLOW</t>
  </si>
  <si>
    <t>N/C = Not Connected</t>
  </si>
  <si>
    <t>C.1.2-A</t>
  </si>
  <si>
    <t>Connector # 2</t>
  </si>
  <si>
    <t>Pin # A</t>
  </si>
  <si>
    <t>CONNECTORS</t>
  </si>
  <si>
    <t>CONNECTOR (Part Number)</t>
  </si>
  <si>
    <t>Sub Harness - Rear Wheel</t>
  </si>
  <si>
    <t>RED</t>
  </si>
  <si>
    <t>SHRW</t>
  </si>
  <si>
    <t>Sub Harness - Front Wheel</t>
  </si>
  <si>
    <t>Plug</t>
  </si>
  <si>
    <t>SHSNR</t>
  </si>
  <si>
    <t>SHFW</t>
  </si>
  <si>
    <t>Sub Harness - Injectors</t>
  </si>
  <si>
    <t>SHINJ</t>
  </si>
  <si>
    <t>WHITE</t>
  </si>
  <si>
    <t>BLUE</t>
  </si>
  <si>
    <t>Lightbar</t>
  </si>
  <si>
    <t>LIGHTB</t>
  </si>
  <si>
    <t>ORANGE</t>
  </si>
  <si>
    <t>BROWN</t>
  </si>
  <si>
    <t>Right Handlebar Controls</t>
  </si>
  <si>
    <t>RHBCTL</t>
  </si>
  <si>
    <t>RED / BLACK</t>
  </si>
  <si>
    <t>Left Handlebar Controls</t>
  </si>
  <si>
    <t>LHBCTL</t>
  </si>
  <si>
    <t>ECU Harness</t>
  </si>
  <si>
    <t>ECUH</t>
  </si>
  <si>
    <t>PINK</t>
  </si>
  <si>
    <t>P2-C10</t>
  </si>
  <si>
    <t>DT04-6P</t>
  </si>
  <si>
    <t>GRAY</t>
  </si>
  <si>
    <t>P3-C10</t>
  </si>
  <si>
    <t>DT04-4P</t>
  </si>
  <si>
    <t>DT06-4S</t>
  </si>
  <si>
    <t>Amps on Line (Max)</t>
  </si>
  <si>
    <t>Wire Size (AWG)</t>
  </si>
  <si>
    <t>Color</t>
  </si>
  <si>
    <t>Pin/Seal (Part Number)</t>
  </si>
  <si>
    <t>Destinations (End 1, End 2)</t>
  </si>
  <si>
    <t>USE - Description</t>
  </si>
  <si>
    <t>CODE</t>
  </si>
  <si>
    <t>Only update the following: Connect number, line number, boot type, rest is automatically looked up from Lines, junctions, and connectors</t>
  </si>
  <si>
    <t>Line Description</t>
  </si>
  <si>
    <t>PS-ECU-FI</t>
  </si>
  <si>
    <t>PLUG</t>
  </si>
  <si>
    <t>PS-ECU-O</t>
  </si>
  <si>
    <t>Rating</t>
  </si>
  <si>
    <t>Green = wire can handle current</t>
  </si>
  <si>
    <t>Red = Wire cannot handle current</t>
  </si>
  <si>
    <t>Yellow = Wire size not found</t>
  </si>
  <si>
    <t>P1-C1</t>
  </si>
  <si>
    <t>P2-C2</t>
  </si>
  <si>
    <t>P3-C1</t>
  </si>
  <si>
    <t>P2-C1</t>
  </si>
  <si>
    <t>P4-C1</t>
  </si>
  <si>
    <t>P5-C1</t>
  </si>
  <si>
    <t>J1</t>
  </si>
  <si>
    <t>CMA TOTAL</t>
  </si>
  <si>
    <t>J2</t>
  </si>
  <si>
    <t>P1-C4</t>
  </si>
  <si>
    <t>P2-C4</t>
  </si>
  <si>
    <t>P3-C4</t>
  </si>
  <si>
    <t>P2-C5</t>
  </si>
  <si>
    <t>P3-C5</t>
  </si>
  <si>
    <t>P1-C5</t>
  </si>
  <si>
    <t>P3-C3</t>
  </si>
  <si>
    <t>P2-C3</t>
  </si>
  <si>
    <t>P1-C3</t>
  </si>
  <si>
    <t>P1-C2</t>
  </si>
  <si>
    <t>P3-C2</t>
  </si>
  <si>
    <t>P4-C2</t>
  </si>
  <si>
    <t>P5-C2</t>
  </si>
  <si>
    <t>Main Harness</t>
  </si>
  <si>
    <t>MAINH</t>
  </si>
  <si>
    <t>BAT -</t>
  </si>
  <si>
    <t>BAT +</t>
  </si>
  <si>
    <t>MH-PS-1</t>
  </si>
  <si>
    <t>MH-PS-2</t>
  </si>
  <si>
    <t>Starter Relay Coil PWR +12V</t>
  </si>
  <si>
    <t>J3</t>
  </si>
  <si>
    <t>J6</t>
  </si>
  <si>
    <t>J7</t>
  </si>
  <si>
    <t>J8</t>
  </si>
  <si>
    <t>J9</t>
  </si>
  <si>
    <t>J12</t>
  </si>
  <si>
    <t>J13</t>
  </si>
  <si>
    <t>J14</t>
  </si>
  <si>
    <t>J15</t>
  </si>
  <si>
    <t>J16</t>
  </si>
  <si>
    <t>J17</t>
  </si>
  <si>
    <t>P2-C8</t>
  </si>
  <si>
    <t>RED / WHITE</t>
  </si>
  <si>
    <t>Power Supply</t>
  </si>
  <si>
    <t>PS</t>
  </si>
  <si>
    <t>Relay #</t>
  </si>
  <si>
    <t>Type</t>
  </si>
  <si>
    <t>POWER SUPPLY - RELAYS</t>
  </si>
  <si>
    <t>Power</t>
  </si>
  <si>
    <t>Power-Switched</t>
  </si>
  <si>
    <t>Tiggered</t>
  </si>
  <si>
    <t>Triggered</t>
  </si>
  <si>
    <t>Switched</t>
  </si>
  <si>
    <t>Logical</t>
  </si>
  <si>
    <t>Flasher</t>
  </si>
  <si>
    <t>Name</t>
  </si>
  <si>
    <t>Bank Angle (FI)</t>
  </si>
  <si>
    <t>Fuel Power</t>
  </si>
  <si>
    <t>(Switched) Fan Power</t>
  </si>
  <si>
    <t>(Switched) Headlight Power</t>
  </si>
  <si>
    <t>(Switched) Misc Power1</t>
  </si>
  <si>
    <t>(Switched) Misc Power 2</t>
  </si>
  <si>
    <t>Fuel Pump</t>
  </si>
  <si>
    <t>Fan</t>
  </si>
  <si>
    <t>Headlight Highbeam</t>
  </si>
  <si>
    <t>Starter Logic 1</t>
  </si>
  <si>
    <t>Starter logic 2</t>
  </si>
  <si>
    <t>Left Turn Output</t>
  </si>
  <si>
    <t>Right Turn Output</t>
  </si>
  <si>
    <t>Left Turn Logic</t>
  </si>
  <si>
    <t>Right Turn Logic</t>
  </si>
  <si>
    <t>Turn Signal Flasher</t>
  </si>
  <si>
    <t>Responsible to following power to: Injectors, Fuel Pump, Fans. (ffed their respective power relay coils)  Provides full power to Ignition</t>
  </si>
  <si>
    <t>Allows Battery power to Fuel Injectors and Fuel Pump Relay pin 30</t>
  </si>
  <si>
    <t>Allows Power from battery to fan relay pin 30</t>
  </si>
  <si>
    <t>Allows battery Power to Headlight Highbeam relay pin 30 and power for Low Beam light</t>
  </si>
  <si>
    <t>Provide battery power for fuses: 10- FT550, 11-LED Light bar, 12 +12V Sensors</t>
  </si>
  <si>
    <t>Provide battery power for fuses: 13- Tail and illumination power, 14-brake &amp; turn signal power, 15 start ignition power.</t>
  </si>
  <si>
    <t>Turns fuel pump on and off based on ECU output.</t>
  </si>
  <si>
    <t>Turns on the cooling fans triggered by ECU.</t>
  </si>
  <si>
    <t>Switches on the headlight highbeams</t>
  </si>
  <si>
    <t>Triggered by RPM activated ECU Output | When activated, provides power to Side stand down light</t>
  </si>
  <si>
    <t>Triggered by Starter ECU Output | When 87a powers lowbeam light, 87 goes to starter relay coil power.</t>
  </si>
  <si>
    <t>Once triggered through (turn signal Logic relays) activates the left turn signal Lights</t>
  </si>
  <si>
    <t>Once triggered through (turn signal Logic relays) activates the right turn signal Lights</t>
  </si>
  <si>
    <t>Allows left turn signal relay to activate if right turn signal is not on.</t>
  </si>
  <si>
    <t>Allows right turn signal relay to activate if left turn signal is not on.</t>
  </si>
  <si>
    <t>Provides flashing power to left &amp; right turn signal outputs.</t>
  </si>
  <si>
    <t>POWER SUPPLY - FUSE / DIODES</t>
  </si>
  <si>
    <t>Fuse</t>
  </si>
  <si>
    <t>Fuse #</t>
  </si>
  <si>
    <t>Form</t>
  </si>
  <si>
    <t>AMP Rating      (NO / NC)</t>
  </si>
  <si>
    <t>2 - Pin</t>
  </si>
  <si>
    <t>Bank Angle - Ignition</t>
  </si>
  <si>
    <t>HeadLight - Highbeam</t>
  </si>
  <si>
    <t>Misc Power 1</t>
  </si>
  <si>
    <t>Misc Power 2</t>
  </si>
  <si>
    <t>WB O2 Nano Pros</t>
  </si>
  <si>
    <t>Fuel Injectors</t>
  </si>
  <si>
    <t>FT550</t>
  </si>
  <si>
    <t>Light bar</t>
  </si>
  <si>
    <t>12V Sensor Power</t>
  </si>
  <si>
    <t>Tail/Illumination</t>
  </si>
  <si>
    <t>Brake/Turn Signals</t>
  </si>
  <si>
    <t>Start/Ignition</t>
  </si>
  <si>
    <t>Main load is only the two coil packs</t>
  </si>
  <si>
    <t>Supplies power for fuel pump and fuel injectors</t>
  </si>
  <si>
    <t>Power to the SPAL fans</t>
  </si>
  <si>
    <t>Power for the Highbeam Head Lights</t>
  </si>
  <si>
    <t>Power for the FT550 and light bar. 12V sensors, WB02 Nano pros. Possible exspansion in the future</t>
  </si>
  <si>
    <t>Power for the taillights, turn signals, illumination, Brake Lights, starter relay coil</t>
  </si>
  <si>
    <t>Use this line to power both of the WB 02 Nano pros</t>
  </si>
  <si>
    <t>Powers anything in the light bar that needs direct power</t>
  </si>
  <si>
    <t>All componets are LED Lights</t>
  </si>
  <si>
    <t>L.10.1</t>
  </si>
  <si>
    <t>L.10.2</t>
  </si>
  <si>
    <t>L.10.3</t>
  </si>
  <si>
    <t>L.10.4</t>
  </si>
  <si>
    <t>L.10.5</t>
  </si>
  <si>
    <t>L.10.6</t>
  </si>
  <si>
    <t>L.10.7</t>
  </si>
  <si>
    <t>L.10.8</t>
  </si>
  <si>
    <t>L.10.9</t>
  </si>
  <si>
    <t>L.10.10</t>
  </si>
  <si>
    <t>L.10.11</t>
  </si>
  <si>
    <t>L.10.12</t>
  </si>
  <si>
    <t>L.10.13</t>
  </si>
  <si>
    <t>L.10.14</t>
  </si>
  <si>
    <t>L.10.15</t>
  </si>
  <si>
    <t>L.10.16</t>
  </si>
  <si>
    <t>L.10.17</t>
  </si>
  <si>
    <t>L.10.18</t>
  </si>
  <si>
    <t>L.10.19</t>
  </si>
  <si>
    <t>L.10.20</t>
  </si>
  <si>
    <t>L.10.21</t>
  </si>
  <si>
    <t>L.10.22</t>
  </si>
  <si>
    <t>L.10.23</t>
  </si>
  <si>
    <t>L.10.25</t>
  </si>
  <si>
    <t>L.10.27</t>
  </si>
  <si>
    <t>L.10.28</t>
  </si>
  <si>
    <t>L.10.29</t>
  </si>
  <si>
    <t>L.10.30</t>
  </si>
  <si>
    <t>L.10.31</t>
  </si>
  <si>
    <t>L.10.32</t>
  </si>
  <si>
    <t>L.10.33</t>
  </si>
  <si>
    <t>L.10.34</t>
  </si>
  <si>
    <t>L.10.35</t>
  </si>
  <si>
    <t>L.10.36</t>
  </si>
  <si>
    <t>L.10.37</t>
  </si>
  <si>
    <t>L.10.38</t>
  </si>
  <si>
    <t>L.10.39</t>
  </si>
  <si>
    <t>L.10.40</t>
  </si>
  <si>
    <t>L.10.41</t>
  </si>
  <si>
    <t>L.10.42</t>
  </si>
  <si>
    <t>L.10.43</t>
  </si>
  <si>
    <t>L.10.44</t>
  </si>
  <si>
    <t>L.10.45</t>
  </si>
  <si>
    <t>L.10.46</t>
  </si>
  <si>
    <t>L.10.47</t>
  </si>
  <si>
    <t>L.10.48</t>
  </si>
  <si>
    <t>L.10.49</t>
  </si>
  <si>
    <t>L.10.50</t>
  </si>
  <si>
    <t>L.10.51</t>
  </si>
  <si>
    <t>L.10.54</t>
  </si>
  <si>
    <t>L.10.55</t>
  </si>
  <si>
    <t>L.10.56</t>
  </si>
  <si>
    <t>L.10.59</t>
  </si>
  <si>
    <t>L.10.60</t>
  </si>
  <si>
    <t>L.10.61</t>
  </si>
  <si>
    <t>L.10.62</t>
  </si>
  <si>
    <t>L.10.63</t>
  </si>
  <si>
    <t>L.10.64</t>
  </si>
  <si>
    <t>L.10.65</t>
  </si>
  <si>
    <t>L.10.66</t>
  </si>
  <si>
    <t>L.10.67</t>
  </si>
  <si>
    <t>L.10.68</t>
  </si>
  <si>
    <t>L.10.69</t>
  </si>
  <si>
    <t>L.10.70</t>
  </si>
  <si>
    <t>L.10.71</t>
  </si>
  <si>
    <t>L.10.72</t>
  </si>
  <si>
    <t>L.10.73</t>
  </si>
  <si>
    <t>L.10.74</t>
  </si>
  <si>
    <t>L.10.75</t>
  </si>
  <si>
    <t>L.10.76</t>
  </si>
  <si>
    <t>L.10.77</t>
  </si>
  <si>
    <t>L.10.78</t>
  </si>
  <si>
    <t>L.10.79</t>
  </si>
  <si>
    <t>L.10.80</t>
  </si>
  <si>
    <t>L.10.81</t>
  </si>
  <si>
    <t>L.10.82</t>
  </si>
  <si>
    <t>L.10.83</t>
  </si>
  <si>
    <t>L.10.84</t>
  </si>
  <si>
    <t>L.10.85</t>
  </si>
  <si>
    <t>L.10.86</t>
  </si>
  <si>
    <t>L.10.87</t>
  </si>
  <si>
    <t>L.10.88</t>
  </si>
  <si>
    <t>L.10.89</t>
  </si>
  <si>
    <t>L.10.90</t>
  </si>
  <si>
    <t>L.10.91</t>
  </si>
  <si>
    <t>L.10.92</t>
  </si>
  <si>
    <t>L.10.93</t>
  </si>
  <si>
    <t>L.10.94</t>
  </si>
  <si>
    <t>L.10.95</t>
  </si>
  <si>
    <t>L.10.96</t>
  </si>
  <si>
    <t>L.10.97</t>
  </si>
  <si>
    <t>L.10.98</t>
  </si>
  <si>
    <t>L.10.99</t>
  </si>
  <si>
    <t>L.10.100</t>
  </si>
  <si>
    <t>L.10.101</t>
  </si>
  <si>
    <t>L.10.102</t>
  </si>
  <si>
    <t>L.10.103</t>
  </si>
  <si>
    <t>L.10.104</t>
  </si>
  <si>
    <t>L.10.105</t>
  </si>
  <si>
    <t>L.10.106</t>
  </si>
  <si>
    <t>L.10.107</t>
  </si>
  <si>
    <t>L.10.108</t>
  </si>
  <si>
    <t>L.10.109</t>
  </si>
  <si>
    <t>L.10.110</t>
  </si>
  <si>
    <t>L.10.111</t>
  </si>
  <si>
    <t>F1</t>
  </si>
  <si>
    <t>F2</t>
  </si>
  <si>
    <t>F3</t>
  </si>
  <si>
    <t>F4</t>
  </si>
  <si>
    <t>F5</t>
  </si>
  <si>
    <t>F6</t>
  </si>
  <si>
    <t>+12V Straight from battery</t>
  </si>
  <si>
    <t>Must be indiviidual lead to battery</t>
  </si>
  <si>
    <t>Relay 1 (Bank Angle) +12V Power Supply</t>
  </si>
  <si>
    <t>RLY2-P30</t>
  </si>
  <si>
    <t>RLY1-P30</t>
  </si>
  <si>
    <t>Relay 2 (Fuel) +12V Power Supply</t>
  </si>
  <si>
    <t>Relay 3 (Fan) +12V Power Supply</t>
  </si>
  <si>
    <t>RLY3-P30</t>
  </si>
  <si>
    <t>RLY4-P30</t>
  </si>
  <si>
    <t>Relay 4 (HL) +12V Power Supply</t>
  </si>
  <si>
    <t>Relay 5 (Misc 1) +12V Power Supply</t>
  </si>
  <si>
    <t>Relay 6 (Misc 2) +12V Power Supply</t>
  </si>
  <si>
    <t>RLY5-P30</t>
  </si>
  <si>
    <t>RLY6-P30</t>
  </si>
  <si>
    <t>+12V From Relay 1 PIN 87</t>
  </si>
  <si>
    <t>RLY1-P87</t>
  </si>
  <si>
    <t>+12V From Relay 1 Pin 87</t>
  </si>
  <si>
    <t>(Relay 1 P87) 12V PWR for COP</t>
  </si>
  <si>
    <t>C.10.1</t>
  </si>
  <si>
    <t>PS to ECU Harness - FI Power</t>
  </si>
  <si>
    <t>(Relay 1 P87) 12V PWR for Relay 3 P86</t>
  </si>
  <si>
    <t>(Relay 1 P87) 12V PWR for Relay 2 P86</t>
  </si>
  <si>
    <t>RLY2-P86</t>
  </si>
  <si>
    <t>RLY3-P86</t>
  </si>
  <si>
    <t>+12V From Relay 2 Pin 87</t>
  </si>
  <si>
    <t>+12V From Relay 2 PIN 87</t>
  </si>
  <si>
    <t>RLY2-P87</t>
  </si>
  <si>
    <t>F8</t>
  </si>
  <si>
    <t>F9</t>
  </si>
  <si>
    <t>Relay 2 Powr for Fuse 8 (Fuel Pump)</t>
  </si>
  <si>
    <t>Relay 2 Powr for Fuse 9 (Injectors)</t>
  </si>
  <si>
    <t>Fuse 8 PWR for Fuel pump and pump relay</t>
  </si>
  <si>
    <t>Fuse 8 Pwr for Fuel pump and pump relay</t>
  </si>
  <si>
    <t>RLY7-P86</t>
  </si>
  <si>
    <t>RLY7-P30</t>
  </si>
  <si>
    <t>Fuse 8 Pwr for Relay 7 Coil PWR</t>
  </si>
  <si>
    <t>Fuse 8 Pwr for Switched PWR (Fuel Pump)</t>
  </si>
  <si>
    <t>Fuel Injector PWR</t>
  </si>
  <si>
    <t>RLY7-P87</t>
  </si>
  <si>
    <t>Fuel Pump PWR</t>
  </si>
  <si>
    <t>RLY7-P85</t>
  </si>
  <si>
    <t>Fuel Pump ECU Trigger</t>
  </si>
  <si>
    <t>C.10.2</t>
  </si>
  <si>
    <t>PS to ECU Harness - Outputs</t>
  </si>
  <si>
    <t>Fan Relay Switched PWR</t>
  </si>
  <si>
    <t>Fan Relay Switched PWR (87)</t>
  </si>
  <si>
    <t>RLY3-P87</t>
  </si>
  <si>
    <t>Fan Trigger Relay - Coil PWR</t>
  </si>
  <si>
    <t>Fan Trigger Relay - switched (30) PWR</t>
  </si>
  <si>
    <t>RLY8-P86</t>
  </si>
  <si>
    <t>RLY8-P30</t>
  </si>
  <si>
    <t>P6-C2</t>
  </si>
  <si>
    <t>RLY8-P85</t>
  </si>
  <si>
    <t>Fan Trigger Relay - ECU Signal Trigger (85)</t>
  </si>
  <si>
    <t>Fan Trigger Relay - FAN SUPPLU POWER (87)</t>
  </si>
  <si>
    <t>RLY8-P87</t>
  </si>
  <si>
    <t>FAN Trigger Switched Power (87)</t>
  </si>
  <si>
    <t>Fan Supply Power 1</t>
  </si>
  <si>
    <t>Fan Supply Power 2</t>
  </si>
  <si>
    <t>Headlight Relay SW PWR (87)</t>
  </si>
  <si>
    <t>RLY4-P87</t>
  </si>
  <si>
    <t>RLY9-P30</t>
  </si>
  <si>
    <t>RLY10-P86</t>
  </si>
  <si>
    <t>RLY11-P30</t>
  </si>
  <si>
    <t>Highbeam Relay (30) PWR Supply</t>
  </si>
  <si>
    <t>Starter Logic 1 Relay Coil PWR</t>
  </si>
  <si>
    <t>Stater Logic 2 (30) PWR</t>
  </si>
  <si>
    <t>C.10.3</t>
  </si>
  <si>
    <t>PS TO Main Harness - Connector 2</t>
  </si>
  <si>
    <t>DT04-12P</t>
  </si>
  <si>
    <t>Highbeam Output Power</t>
  </si>
  <si>
    <t>P9-C3</t>
  </si>
  <si>
    <t>RLY9-P87</t>
  </si>
  <si>
    <t>ECU Trigger Output: RPM Activated Output</t>
  </si>
  <si>
    <t>P7-C2</t>
  </si>
  <si>
    <t>P7-C4</t>
  </si>
  <si>
    <t>Run / Stop Switch Input (+12V)</t>
  </si>
  <si>
    <t>RLY1-P86</t>
  </si>
  <si>
    <t>BA Relay (1) Coil Power (From Run/STOP)</t>
  </si>
  <si>
    <t>RLY10-P30</t>
  </si>
  <si>
    <t>Starter Logic 1 Common PWR (30) (from run/stop)</t>
  </si>
  <si>
    <t>RLY10-P87a</t>
  </si>
  <si>
    <t>RLY11-P86</t>
  </si>
  <si>
    <t>SL2 Coil PWR from SL1 87a</t>
  </si>
  <si>
    <t>ECU Trigger Starter trig output</t>
  </si>
  <si>
    <t>RLY11-P85</t>
  </si>
  <si>
    <t>P8-C2</t>
  </si>
  <si>
    <t>Sidestand Down Light PWR (RPM ACTIVATED PWR)</t>
  </si>
  <si>
    <t>P10-C3</t>
  </si>
  <si>
    <t>RLY10-P87</t>
  </si>
  <si>
    <t>HeadLight Lowbeam PWR</t>
  </si>
  <si>
    <t>P11-C3</t>
  </si>
  <si>
    <t>RLY11-P87a</t>
  </si>
  <si>
    <t>Starter Relay Coil Power</t>
  </si>
  <si>
    <t>RLY11-P87</t>
  </si>
  <si>
    <t>Bank angle relay coil exit - gnd thru BAS</t>
  </si>
  <si>
    <t>P8-C3</t>
  </si>
  <si>
    <t>RLY1-P85</t>
  </si>
  <si>
    <t>SS Down LED GND - thru SS Diode</t>
  </si>
  <si>
    <t>P4-C4</t>
  </si>
  <si>
    <t>Starter Relay Coil Exit - Thru clutch switch</t>
  </si>
  <si>
    <t>Run / Stop PWR - for Rly1(86) &amp; 10(30)</t>
  </si>
  <si>
    <t>D3-D4 GND Path thru SS Switch</t>
  </si>
  <si>
    <t>P5-C3</t>
  </si>
  <si>
    <t>P5-C4</t>
  </si>
  <si>
    <t>Neutral Light LED GND Path - thru NS Diode</t>
  </si>
  <si>
    <t>Starter Relay Coil Exit - GND thru ns diode</t>
  </si>
  <si>
    <t>D1-D2 GND Path thru Neutral Switch</t>
  </si>
  <si>
    <t>P4-C3</t>
  </si>
  <si>
    <t>Relay Coils Grounds - to BAT Neg</t>
  </si>
  <si>
    <t>Relay 2 Coil GND - to Bat Neg</t>
  </si>
  <si>
    <t>Relay 3 Coil GND - to Bat Neg</t>
  </si>
  <si>
    <t>Relay 4 Coil GND - to Bat Neg</t>
  </si>
  <si>
    <t>Relay 5 Coil GND - to Bat Neg</t>
  </si>
  <si>
    <t>Relay 6 Coil GND - to Bat Neg</t>
  </si>
  <si>
    <t>Relay 9 Coil GND - to Bat Neg</t>
  </si>
  <si>
    <t>RLY2-P85</t>
  </si>
  <si>
    <t>RLY3-P85</t>
  </si>
  <si>
    <t>RLY4-P85</t>
  </si>
  <si>
    <t>RLY5-P85</t>
  </si>
  <si>
    <t>RLY6-P85</t>
  </si>
  <si>
    <t>RLY9-P85</t>
  </si>
  <si>
    <t>Relay coil exits GND Path (Bat Neg)</t>
  </si>
  <si>
    <t>+12V Switched PWR - From Keyswitch</t>
  </si>
  <si>
    <t>Switched (KeySwitch) +12V PWR</t>
  </si>
  <si>
    <t>P6-C4</t>
  </si>
  <si>
    <t>Relay 4 (HL) Coil PWR (86)</t>
  </si>
  <si>
    <t>RLY4-P86</t>
  </si>
  <si>
    <t>Relay 5 (MISC 1) Coil PWR (86)</t>
  </si>
  <si>
    <t>Relay 6 (MISC 2) Coil PWR (86)</t>
  </si>
  <si>
    <t>RLY5-P86</t>
  </si>
  <si>
    <t>RLY6-P86</t>
  </si>
  <si>
    <t>Headlight Relay (4) Switched Pwr (87)</t>
  </si>
  <si>
    <t>Relay 5 - On Power (Pin 87)</t>
  </si>
  <si>
    <t>Misc 1 Relay (P87)  12V PWR</t>
  </si>
  <si>
    <t>RLY5-P87</t>
  </si>
  <si>
    <t>F7</t>
  </si>
  <si>
    <t>F10</t>
  </si>
  <si>
    <t>F11</t>
  </si>
  <si>
    <t>F12</t>
  </si>
  <si>
    <t>+12V For Fuse 7 - WB Nanos Pros</t>
  </si>
  <si>
    <t>+12V For Fuse 10 - FT550</t>
  </si>
  <si>
    <t>+12V For Fuse 11 -  LED Lightbar</t>
  </si>
  <si>
    <t>+12V For Fuse 12 - +12V Sensors</t>
  </si>
  <si>
    <t>Fuse 7 Power - WB Nano Pros</t>
  </si>
  <si>
    <t>Fuse 7 - WB Nano Power</t>
  </si>
  <si>
    <t xml:space="preserve">WB Nano 1 Power </t>
  </si>
  <si>
    <t xml:space="preserve">WB Nano 2 Power </t>
  </si>
  <si>
    <t>FT550 PWR</t>
  </si>
  <si>
    <t>Lightbar Power Supply +12V</t>
  </si>
  <si>
    <t>P6-C3</t>
  </si>
  <si>
    <t>+12V Semsor PWR</t>
  </si>
  <si>
    <t>Left Turn Signal Ref +24V PWR</t>
  </si>
  <si>
    <t>P9-C4</t>
  </si>
  <si>
    <t>RLY12-P86</t>
  </si>
  <si>
    <t>Right Turn Signal Ref +24V PWR</t>
  </si>
  <si>
    <t>P10-C4</t>
  </si>
  <si>
    <t>RLY13-P86</t>
  </si>
  <si>
    <t>Relay 6 - On Power (Pin 87)</t>
  </si>
  <si>
    <t>Misc 2 Relay (P87)  12V PWR</t>
  </si>
  <si>
    <t>RLY6-P87</t>
  </si>
  <si>
    <t>F13</t>
  </si>
  <si>
    <t>F14</t>
  </si>
  <si>
    <t>F15</t>
  </si>
  <si>
    <t>Fuse 13 +12V PWR - TAIL/ILLUM</t>
  </si>
  <si>
    <t>Fuse 13 +12V PWR - BRAKE - TS</t>
  </si>
  <si>
    <t>Fuse 13 +12V PWR - START/IGN</t>
  </si>
  <si>
    <t>Taill Illumination Fused +12V PWR</t>
  </si>
  <si>
    <t>P7-C3</t>
  </si>
  <si>
    <t>J18</t>
  </si>
  <si>
    <t>J19</t>
  </si>
  <si>
    <t>C.10.4</t>
  </si>
  <si>
    <t>PS TO Main Harness - Connector 1</t>
  </si>
  <si>
    <t>DTM04-12P</t>
  </si>
  <si>
    <t>Fused 14 +12V Pwr - Brake PWR</t>
  </si>
  <si>
    <t>Fuse 14 - Brake PWR</t>
  </si>
  <si>
    <t>Fuse 15 - Start Ignition +12V PWR</t>
  </si>
  <si>
    <t>Brake PWR Circuit</t>
  </si>
  <si>
    <t>+24V Turn Signal Logic Ref Voltage</t>
  </si>
  <si>
    <t>RLY16-PB</t>
  </si>
  <si>
    <t>+12V For LED Flasher Relay</t>
  </si>
  <si>
    <t>24VPS</t>
  </si>
  <si>
    <t>C.10.5</t>
  </si>
  <si>
    <t>24V Power Supply - SUPPLY SIDE</t>
  </si>
  <si>
    <t>C.10.6</t>
  </si>
  <si>
    <t>24V Power Supply - HARNESS SIDE</t>
  </si>
  <si>
    <t>P4-C5</t>
  </si>
  <si>
    <t>+12V POWER SUPPLY</t>
  </si>
  <si>
    <t>+12V BATTER NEG</t>
  </si>
  <si>
    <t>24V PS Positive</t>
  </si>
  <si>
    <t>24V PS Negative</t>
  </si>
  <si>
    <t>24PS OUT -</t>
  </si>
  <si>
    <t>24PS OUT +</t>
  </si>
  <si>
    <t>24PS IN +</t>
  </si>
  <si>
    <t>24PS IN -</t>
  </si>
  <si>
    <t>+12V For 24V Power Supply</t>
  </si>
  <si>
    <t>P1-C6</t>
  </si>
  <si>
    <t>P2-C6</t>
  </si>
  <si>
    <t>+12V Battery Neg for 24V Power Supply System</t>
  </si>
  <si>
    <t>P3-C6</t>
  </si>
  <si>
    <t>P4-C6</t>
  </si>
  <si>
    <t>24V Power Supply GND</t>
  </si>
  <si>
    <t>24V Power Supply System GND</t>
  </si>
  <si>
    <t>24V GND - GND For Relay 15 Coil</t>
  </si>
  <si>
    <t>24V GND - GND For Relay 14 Coil</t>
  </si>
  <si>
    <t>RLY15-P85</t>
  </si>
  <si>
    <t>RLY14-P85</t>
  </si>
  <si>
    <t>Relay 14-15 Crossover Logic</t>
  </si>
  <si>
    <t>RLY14-P30</t>
  </si>
  <si>
    <t>RLY15-P86</t>
  </si>
  <si>
    <t>RLY15-P30</t>
  </si>
  <si>
    <t>RLY14-P86</t>
  </si>
  <si>
    <t>RLY13-P85</t>
  </si>
  <si>
    <t>RLY14-P87a</t>
  </si>
  <si>
    <t>Right Turn Relay to RT Logic Relay - Coil GND Logic</t>
  </si>
  <si>
    <t>Left Turn Relay to LT Logic Relay - Coil GND Logic</t>
  </si>
  <si>
    <t>RLY12-P85</t>
  </si>
  <si>
    <t>RLY15-P87a</t>
  </si>
  <si>
    <t>Relay 16 - LED Flash Power 12V</t>
  </si>
  <si>
    <t>RLY16-PL</t>
  </si>
  <si>
    <t>LED Flasher Relay -Flash Output +12V</t>
  </si>
  <si>
    <t>Flasher 12V for Right Turn Signal</t>
  </si>
  <si>
    <t>Flasher 12V for Left Turn Signal</t>
  </si>
  <si>
    <t>RLY13-P30</t>
  </si>
  <si>
    <t>RLY12-P30</t>
  </si>
  <si>
    <t>Left turn signal Flashing 12V</t>
  </si>
  <si>
    <t>P11-C4</t>
  </si>
  <si>
    <t>Right turn signal Flashing 12V</t>
  </si>
  <si>
    <t>L.10.112</t>
  </si>
  <si>
    <t>RLY12-P87</t>
  </si>
  <si>
    <t>RLY13-P87</t>
  </si>
  <si>
    <t>P12-C4</t>
  </si>
  <si>
    <t>P8-C4</t>
  </si>
  <si>
    <t>Highbeam Switch Input +12V</t>
  </si>
  <si>
    <t>RLY9-P86</t>
  </si>
  <si>
    <t>RLY1</t>
  </si>
  <si>
    <t>TYPE:</t>
  </si>
  <si>
    <t>Number:</t>
  </si>
  <si>
    <t>87a</t>
  </si>
  <si>
    <t>Line Destinations (End 1, End 2)</t>
  </si>
  <si>
    <t>RLY2</t>
  </si>
  <si>
    <t>RLY3</t>
  </si>
  <si>
    <t>RLY4</t>
  </si>
  <si>
    <t>RLY5</t>
  </si>
  <si>
    <t>RLY6</t>
  </si>
  <si>
    <t>RLY7</t>
  </si>
  <si>
    <t>RLY8</t>
  </si>
  <si>
    <t>RLY9</t>
  </si>
  <si>
    <t>RLY10</t>
  </si>
  <si>
    <t>RLY10-P85</t>
  </si>
  <si>
    <t>RLY11</t>
  </si>
  <si>
    <t>RLY12</t>
  </si>
  <si>
    <t>RLY13</t>
  </si>
  <si>
    <t>RLY14</t>
  </si>
  <si>
    <t>RLY15</t>
  </si>
  <si>
    <t>RLY16</t>
  </si>
  <si>
    <t>Form:</t>
  </si>
  <si>
    <t>Rating (AMPS):</t>
  </si>
  <si>
    <t>Line Amps</t>
  </si>
  <si>
    <t>Okay wiith a lower fuse since we are running LED Lights</t>
  </si>
  <si>
    <t>Gauge</t>
  </si>
  <si>
    <t>Total Feet</t>
  </si>
  <si>
    <t>Wire Summary Chart</t>
  </si>
  <si>
    <t>Uses</t>
  </si>
  <si>
    <t>ECU Triggers (coil P85)</t>
  </si>
  <si>
    <t>+12V Battery PWR</t>
  </si>
  <si>
    <t>+12V Misc Power</t>
  </si>
  <si>
    <t>PURPLE</t>
  </si>
  <si>
    <t>HIGH BEAM</t>
  </si>
  <si>
    <t>LOW BEAM</t>
  </si>
  <si>
    <t>+12V GND (Bat Neg)</t>
  </si>
  <si>
    <t>Part of the component harness</t>
  </si>
  <si>
    <t>Switch GNS (N &amp; SS)</t>
  </si>
  <si>
    <t>Key Switched +12V</t>
  </si>
  <si>
    <t>RUN/STOP +12V</t>
  </si>
  <si>
    <t>+24V PWR</t>
  </si>
  <si>
    <t>+12V FLASH PWR - L TURN</t>
  </si>
  <si>
    <t>+24V PS Inputs</t>
  </si>
  <si>
    <t>+12V PS Inputs</t>
  </si>
  <si>
    <t>LIGHT BLUE</t>
  </si>
  <si>
    <t xml:space="preserve">+12V R TURN </t>
  </si>
  <si>
    <t>WIRE Sum Tot</t>
  </si>
  <si>
    <t>Line Chart Tot</t>
  </si>
  <si>
    <t>USE RED</t>
  </si>
  <si>
    <t>C.10.7</t>
  </si>
  <si>
    <t>C.10.8</t>
  </si>
  <si>
    <t>C.10.9</t>
  </si>
  <si>
    <t>C.10.10</t>
  </si>
  <si>
    <t>Diode Pack - Nuetral Switch (Component)</t>
  </si>
  <si>
    <t>Diode Pack - Nuetral Switch (Harness)</t>
  </si>
  <si>
    <t>DIODE-NS</t>
  </si>
  <si>
    <t>DIODE-SS</t>
  </si>
  <si>
    <t>DT04-4P-RT01</t>
  </si>
  <si>
    <t>P3-C8</t>
  </si>
  <si>
    <t>P4-C8</t>
  </si>
  <si>
    <t>P4-C10</t>
  </si>
  <si>
    <t>plug</t>
  </si>
  <si>
    <t>NOTE, CONNECTORS C10.7 &amp; C10.9 ARE THE SAME (DT04-4P-RT01) DIODE PACKS SELF SEALED - PLUG AND PLAY</t>
  </si>
  <si>
    <t>Length (mm)</t>
  </si>
  <si>
    <t>Inline Directions</t>
  </si>
  <si>
    <t>L.10.13 / REST</t>
  </si>
  <si>
    <t>L.10.17 / REST</t>
  </si>
  <si>
    <t>Open Barrel - C</t>
  </si>
  <si>
    <t>Open Barrel - B</t>
  </si>
  <si>
    <t>Open Barrel - T? A?</t>
  </si>
  <si>
    <t>L.10.20 / REST</t>
  </si>
  <si>
    <t>L.10.28 / REST</t>
  </si>
  <si>
    <t>L.10.32 / REST (TRIM 5 STRANDS FROM 12G WIRE)</t>
  </si>
  <si>
    <t>L.10.35 / REST</t>
  </si>
  <si>
    <t>L.10.41 / REST</t>
  </si>
  <si>
    <t xml:space="preserve"> LIGHT GREEN</t>
  </si>
  <si>
    <t>LIGHT GREEN</t>
  </si>
  <si>
    <t>Open Barrel - A</t>
  </si>
  <si>
    <t>Open Barrel - T</t>
  </si>
  <si>
    <t>L.10.66 / REST</t>
  </si>
  <si>
    <t>L.10.67 / REST</t>
  </si>
  <si>
    <t>L.10.71 / REST</t>
  </si>
  <si>
    <t>L.10.76 / REST</t>
  </si>
  <si>
    <t>L.10.84 / REST</t>
  </si>
  <si>
    <t>L.10.89 / REST</t>
  </si>
  <si>
    <t>L.10.100 / REST</t>
  </si>
  <si>
    <t>L.10.107 / REST</t>
  </si>
  <si>
    <t>Part Number</t>
  </si>
  <si>
    <t>Short Version</t>
  </si>
  <si>
    <t>SC: 871-1C-S-D1-12VDC</t>
  </si>
  <si>
    <t>SC: 108-1AH-D-R1</t>
  </si>
  <si>
    <t>ATM Mini</t>
  </si>
  <si>
    <t>SC: 871-1C-S-12VDC</t>
  </si>
  <si>
    <t>MUST NOT HAVE DIODE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</si>
</sst>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4" x14ac:knownFonts="1">
    <font>
      <sz val="10"/>
      <color rgb="FF000000"/>
      <name val="Arial"/>
    </font>
    <font>
      <sz val="10"/>
      <name val="Arial"/>
    </font>
    <font>
      <b/>
      <sz val="10"/>
      <name val="Arial"/>
    </font>
    <font>
      <sz val="10"/>
      <name val="Arial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b/>
      <sz val="10"/>
      <name val="Arial"/>
      <family val="2"/>
    </font>
    <font>
      <sz val="8"/>
      <name val="Arial"/>
    </font>
    <font>
      <b/>
      <sz val="14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C00000"/>
        <bgColor indexed="64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1" fillId="0" borderId="1" xfId="0" applyFont="1" applyBorder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quotePrefix="1" applyFont="1" applyAlignment="1">
      <alignment horizontal="center"/>
    </xf>
    <xf numFmtId="0" fontId="5" fillId="0" borderId="3" xfId="0" applyFont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0" fillId="0" borderId="0" xfId="0" quotePrefix="1" applyAlignment="1">
      <alignment horizontal="center"/>
    </xf>
    <xf numFmtId="0" fontId="7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3" xfId="0" quotePrefix="1" applyFont="1" applyBorder="1" applyAlignment="1">
      <alignment horizontal="center"/>
    </xf>
    <xf numFmtId="0" fontId="0" fillId="0" borderId="3" xfId="0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49" fontId="0" fillId="0" borderId="0" xfId="0" applyNumberFormat="1" applyAlignment="1">
      <alignment horizontal="center"/>
    </xf>
    <xf numFmtId="49" fontId="0" fillId="0" borderId="0" xfId="0" applyNumberFormat="1"/>
    <xf numFmtId="49" fontId="5" fillId="0" borderId="3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5" fillId="0" borderId="3" xfId="0" applyNumberFormat="1" applyFont="1" applyBorder="1" applyAlignment="1">
      <alignment horizontal="center" vertical="center"/>
    </xf>
    <xf numFmtId="0" fontId="4" fillId="0" borderId="4" xfId="0" applyFont="1" applyBorder="1"/>
    <xf numFmtId="0" fontId="4" fillId="0" borderId="1" xfId="0" applyFont="1" applyBorder="1"/>
    <xf numFmtId="0" fontId="9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/>
    <xf numFmtId="0" fontId="4" fillId="2" borderId="0" xfId="0" applyFont="1" applyFill="1"/>
    <xf numFmtId="0" fontId="4" fillId="0" borderId="0" xfId="0" applyFont="1" applyAlignment="1">
      <alignment horizontal="right"/>
    </xf>
    <xf numFmtId="49" fontId="5" fillId="3" borderId="0" xfId="0" applyNumberFormat="1" applyFont="1" applyFill="1" applyAlignment="1">
      <alignment horizontal="center"/>
    </xf>
    <xf numFmtId="49" fontId="4" fillId="0" borderId="14" xfId="0" applyNumberFormat="1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11" fillId="3" borderId="4" xfId="0" applyFont="1" applyFill="1" applyBorder="1" applyAlignment="1">
      <alignment horizontal="center"/>
    </xf>
    <xf numFmtId="0" fontId="9" fillId="0" borderId="16" xfId="0" applyFont="1" applyBorder="1" applyAlignment="1">
      <alignment horizontal="center"/>
    </xf>
    <xf numFmtId="0" fontId="1" fillId="0" borderId="16" xfId="0" applyFont="1" applyBorder="1"/>
    <xf numFmtId="0" fontId="7" fillId="0" borderId="17" xfId="0" applyFont="1" applyBorder="1" applyAlignment="1">
      <alignment horizontal="right"/>
    </xf>
    <xf numFmtId="0" fontId="2" fillId="0" borderId="9" xfId="0" applyFont="1" applyBorder="1"/>
    <xf numFmtId="0" fontId="1" fillId="0" borderId="10" xfId="0" applyFont="1" applyBorder="1"/>
    <xf numFmtId="0" fontId="1" fillId="3" borderId="1" xfId="0" applyFont="1" applyFill="1" applyBorder="1" applyAlignment="1">
      <alignment horizontal="center"/>
    </xf>
    <xf numFmtId="0" fontId="7" fillId="0" borderId="1" xfId="0" applyFont="1" applyBorder="1"/>
    <xf numFmtId="0" fontId="1" fillId="0" borderId="9" xfId="0" applyFont="1" applyBorder="1"/>
    <xf numFmtId="0" fontId="7" fillId="0" borderId="10" xfId="0" quotePrefix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7" fillId="0" borderId="12" xfId="0" quotePrefix="1" applyFont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0" fontId="0" fillId="0" borderId="3" xfId="0" applyBorder="1"/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8" xfId="0" applyFont="1" applyBorder="1"/>
    <xf numFmtId="0" fontId="5" fillId="0" borderId="19" xfId="0" applyFont="1" applyBorder="1" applyAlignment="1">
      <alignment horizontal="right"/>
    </xf>
    <xf numFmtId="164" fontId="5" fillId="0" borderId="19" xfId="0" applyNumberFormat="1" applyFont="1" applyBorder="1" applyAlignment="1">
      <alignment horizontal="left"/>
    </xf>
    <xf numFmtId="49" fontId="5" fillId="0" borderId="19" xfId="0" applyNumberFormat="1" applyFont="1" applyBorder="1"/>
    <xf numFmtId="0" fontId="5" fillId="0" borderId="19" xfId="0" applyFont="1" applyBorder="1"/>
    <xf numFmtId="0" fontId="5" fillId="0" borderId="20" xfId="0" applyFont="1" applyBorder="1"/>
    <xf numFmtId="0" fontId="0" fillId="0" borderId="1" xfId="0" applyBorder="1" applyAlignment="1">
      <alignment vertical="center"/>
    </xf>
    <xf numFmtId="164" fontId="5" fillId="0" borderId="13" xfId="0" applyNumberFormat="1" applyFont="1" applyBorder="1" applyAlignment="1">
      <alignment horizontal="center"/>
    </xf>
    <xf numFmtId="0" fontId="0" fillId="0" borderId="1" xfId="0" applyBorder="1"/>
    <xf numFmtId="0" fontId="7" fillId="0" borderId="9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4" fillId="0" borderId="0" xfId="0" applyFont="1" applyAlignment="1">
      <alignment wrapText="1"/>
    </xf>
    <xf numFmtId="0" fontId="4" fillId="0" borderId="4" xfId="0" applyFont="1" applyBorder="1" applyAlignment="1">
      <alignment horizontal="center"/>
    </xf>
    <xf numFmtId="164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9" fillId="0" borderId="21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22" xfId="0" applyFont="1" applyBorder="1" applyAlignment="1">
      <alignment horizontal="center"/>
    </xf>
    <xf numFmtId="164" fontId="5" fillId="0" borderId="0" xfId="0" applyNumberFormat="1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7" fillId="0" borderId="8" xfId="0" quotePrefix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wrapText="1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left"/>
    </xf>
    <xf numFmtId="0" fontId="0" fillId="0" borderId="4" xfId="0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0" fillId="4" borderId="0" xfId="0" applyFill="1"/>
    <xf numFmtId="0" fontId="9" fillId="0" borderId="9" xfId="0" applyFont="1" applyBorder="1"/>
    <xf numFmtId="0" fontId="13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9" fillId="0" borderId="9" xfId="0" applyFont="1" applyBorder="1" applyAlignment="1">
      <alignment horizontal="left"/>
    </xf>
    <xf numFmtId="0" fontId="2" fillId="0" borderId="9" xfId="0" applyFont="1" applyBorder="1" applyAlignment="1">
      <alignment horizontal="left"/>
    </xf>
    <xf numFmtId="0" fontId="11" fillId="3" borderId="18" xfId="0" applyFont="1" applyFill="1" applyBorder="1" applyAlignment="1">
      <alignment horizontal="center"/>
    </xf>
    <xf numFmtId="0" fontId="0" fillId="0" borderId="19" xfId="0" applyBorder="1"/>
    <xf numFmtId="0" fontId="9" fillId="0" borderId="19" xfId="0" applyFont="1" applyBorder="1" applyAlignment="1">
      <alignment horizontal="center"/>
    </xf>
    <xf numFmtId="0" fontId="1" fillId="0" borderId="19" xfId="0" applyFont="1" applyBorder="1"/>
    <xf numFmtId="0" fontId="7" fillId="0" borderId="20" xfId="0" applyFont="1" applyBorder="1" applyAlignment="1">
      <alignment horizontal="right"/>
    </xf>
    <xf numFmtId="0" fontId="9" fillId="0" borderId="3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right"/>
    </xf>
    <xf numFmtId="0" fontId="9" fillId="0" borderId="11" xfId="0" applyFont="1" applyBorder="1" applyAlignment="1">
      <alignment horizontal="center"/>
    </xf>
    <xf numFmtId="0" fontId="0" fillId="0" borderId="0" xfId="0" quotePrefix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3" borderId="0" xfId="0" quotePrefix="1" applyFill="1" applyAlignment="1">
      <alignment horizontal="center"/>
    </xf>
    <xf numFmtId="0" fontId="0" fillId="0" borderId="0" xfId="0" applyAlignment="1">
      <alignment wrapText="1"/>
    </xf>
    <xf numFmtId="0" fontId="0" fillId="3" borderId="0" xfId="0" applyFill="1" applyAlignment="1">
      <alignment horizontal="center" vertical="center"/>
    </xf>
    <xf numFmtId="164" fontId="0" fillId="0" borderId="7" xfId="0" applyNumberForma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0" fontId="4" fillId="0" borderId="4" xfId="0" quotePrefix="1" applyFont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1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12" fillId="0" borderId="0" xfId="0" applyFont="1"/>
    <xf numFmtId="164" fontId="0" fillId="5" borderId="0" xfId="0" applyNumberFormat="1" applyFill="1" applyAlignment="1">
      <alignment horizontal="center"/>
    </xf>
    <xf numFmtId="49" fontId="4" fillId="5" borderId="0" xfId="0" applyNumberFormat="1" applyFont="1" applyFill="1" applyAlignment="1">
      <alignment horizontal="center"/>
    </xf>
    <xf numFmtId="0" fontId="0" fillId="5" borderId="0" xfId="0" applyFill="1" applyAlignment="1">
      <alignment horizontal="center"/>
    </xf>
    <xf numFmtId="0" fontId="4" fillId="5" borderId="0" xfId="0" applyFont="1" applyFill="1" applyAlignment="1">
      <alignment horizontal="center"/>
    </xf>
    <xf numFmtId="0" fontId="0" fillId="5" borderId="0" xfId="0" applyFill="1" applyAlignment="1">
      <alignment wrapText="1"/>
    </xf>
    <xf numFmtId="0" fontId="5" fillId="0" borderId="2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12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1" fontId="4" fillId="0" borderId="0" xfId="0" quotePrefix="1" applyNumberFormat="1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1" fontId="4" fillId="0" borderId="0" xfId="0" quotePrefix="1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3">
    <dxf>
      <fill>
        <patternFill>
          <bgColor rgb="FFFFFF00"/>
        </patternFill>
      </fill>
    </dxf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alcChain" Target="calcChain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AABBE-DB65-4AEE-AA29-10156425CAB3}">
  <dimension ref="A1:M16"/>
  <sheetViews>
    <sheetView workbookViewId="0">
      <selection activeCell="E23" sqref="E23"/>
    </sheetView>
  </sheetViews>
  <sheetFormatPr defaultRowHeight="12.75" x14ac:dyDescent="0.2"/>
  <cols>
    <col min="5" max="5" width="23.5703125" bestFit="1" customWidth="1"/>
    <col min="6" max="6" width="20.5703125" bestFit="1" customWidth="1"/>
    <col min="8" max="9" width="9.140625" style="5"/>
    <col min="10" max="10" width="20.5703125" style="5" bestFit="1" customWidth="1"/>
    <col min="11" max="11" width="13.28515625" style="5" bestFit="1" customWidth="1"/>
    <col min="12" max="12" width="15.5703125" customWidth="1"/>
    <col min="13" max="13" width="38.7109375" bestFit="1" customWidth="1"/>
  </cols>
  <sheetData>
    <row r="1" spans="1:13" x14ac:dyDescent="0.2">
      <c r="G1" s="5"/>
      <c r="H1" s="4"/>
      <c r="I1" s="4" t="s">
        <v>19</v>
      </c>
      <c r="J1" s="4" t="s">
        <v>21</v>
      </c>
      <c r="K1" s="4" t="s">
        <v>25</v>
      </c>
      <c r="L1" s="6" t="s">
        <v>40</v>
      </c>
    </row>
    <row r="2" spans="1:13" x14ac:dyDescent="0.2">
      <c r="G2" s="4" t="s">
        <v>29</v>
      </c>
      <c r="H2" s="4" t="s">
        <v>12</v>
      </c>
      <c r="I2" s="4" t="s">
        <v>14</v>
      </c>
      <c r="J2" s="4" t="s">
        <v>9</v>
      </c>
      <c r="K2" s="4" t="s">
        <v>28</v>
      </c>
    </row>
    <row r="3" spans="1:13" x14ac:dyDescent="0.2">
      <c r="E3" s="3"/>
      <c r="H3" s="4" t="s">
        <v>42</v>
      </c>
      <c r="I3" s="4" t="s">
        <v>5</v>
      </c>
      <c r="J3" s="4" t="s">
        <v>9</v>
      </c>
      <c r="K3" s="4" t="s">
        <v>31</v>
      </c>
      <c r="L3" s="4" t="s">
        <v>41</v>
      </c>
      <c r="M3" s="9"/>
    </row>
    <row r="4" spans="1:13" x14ac:dyDescent="0.2">
      <c r="E4" s="3"/>
      <c r="M4" s="9" t="s">
        <v>43</v>
      </c>
    </row>
    <row r="5" spans="1:13" x14ac:dyDescent="0.2">
      <c r="A5" s="124" t="s">
        <v>30</v>
      </c>
      <c r="B5" s="124"/>
      <c r="D5" s="124" t="s">
        <v>24</v>
      </c>
      <c r="E5" s="124"/>
      <c r="F5" s="124"/>
      <c r="M5" s="9" t="s">
        <v>44</v>
      </c>
    </row>
    <row r="6" spans="1:13" ht="13.5" thickBot="1" x14ac:dyDescent="0.25">
      <c r="A6" s="3" t="s">
        <v>13</v>
      </c>
      <c r="B6" s="3" t="s">
        <v>14</v>
      </c>
      <c r="D6" s="15" t="s">
        <v>26</v>
      </c>
      <c r="E6" s="15" t="s">
        <v>20</v>
      </c>
      <c r="F6" s="15" t="s">
        <v>26</v>
      </c>
    </row>
    <row r="7" spans="1:13" x14ac:dyDescent="0.2">
      <c r="A7" s="3" t="s">
        <v>15</v>
      </c>
      <c r="B7" s="3" t="s">
        <v>5</v>
      </c>
      <c r="D7" s="5">
        <v>1</v>
      </c>
      <c r="E7" s="4" t="s">
        <v>27</v>
      </c>
      <c r="F7" s="4" t="s">
        <v>58</v>
      </c>
      <c r="H7" s="5" t="s">
        <v>48</v>
      </c>
      <c r="I7" s="5" t="s">
        <v>16</v>
      </c>
      <c r="J7" s="4" t="s">
        <v>9</v>
      </c>
      <c r="K7" s="5" t="s">
        <v>49</v>
      </c>
      <c r="L7" s="5" t="s">
        <v>50</v>
      </c>
    </row>
    <row r="8" spans="1:13" x14ac:dyDescent="0.2">
      <c r="A8" s="3" t="s">
        <v>7</v>
      </c>
      <c r="B8" s="3" t="s">
        <v>16</v>
      </c>
      <c r="D8" s="5">
        <v>2</v>
      </c>
      <c r="E8" s="4" t="s">
        <v>53</v>
      </c>
      <c r="F8" s="4" t="s">
        <v>55</v>
      </c>
    </row>
    <row r="9" spans="1:13" x14ac:dyDescent="0.2">
      <c r="A9" s="3" t="s">
        <v>17</v>
      </c>
      <c r="B9" s="3" t="s">
        <v>11</v>
      </c>
      <c r="D9" s="5">
        <v>3</v>
      </c>
      <c r="E9" s="5" t="s">
        <v>56</v>
      </c>
      <c r="F9" s="4" t="s">
        <v>59</v>
      </c>
    </row>
    <row r="10" spans="1:13" x14ac:dyDescent="0.2">
      <c r="D10" s="5">
        <v>4</v>
      </c>
      <c r="E10" s="4" t="s">
        <v>60</v>
      </c>
      <c r="F10" s="4" t="s">
        <v>61</v>
      </c>
    </row>
    <row r="11" spans="1:13" x14ac:dyDescent="0.2">
      <c r="D11" s="5">
        <v>5</v>
      </c>
      <c r="E11" s="4" t="s">
        <v>64</v>
      </c>
      <c r="F11" s="4" t="s">
        <v>65</v>
      </c>
    </row>
    <row r="12" spans="1:13" x14ac:dyDescent="0.2">
      <c r="D12" s="5">
        <v>6</v>
      </c>
      <c r="E12" s="5" t="s">
        <v>68</v>
      </c>
      <c r="F12" s="5" t="s">
        <v>69</v>
      </c>
    </row>
    <row r="13" spans="1:13" x14ac:dyDescent="0.2">
      <c r="D13" s="5">
        <v>7</v>
      </c>
      <c r="E13" s="5" t="s">
        <v>71</v>
      </c>
      <c r="F13" s="5" t="s">
        <v>72</v>
      </c>
    </row>
    <row r="14" spans="1:13" x14ac:dyDescent="0.2">
      <c r="D14" s="5">
        <v>8</v>
      </c>
      <c r="E14" s="5" t="s">
        <v>73</v>
      </c>
      <c r="F14" s="5" t="s">
        <v>74</v>
      </c>
    </row>
    <row r="15" spans="1:13" x14ac:dyDescent="0.2">
      <c r="D15" s="5">
        <v>9</v>
      </c>
      <c r="E15" s="5" t="s">
        <v>120</v>
      </c>
      <c r="F15" s="5" t="s">
        <v>121</v>
      </c>
    </row>
    <row r="16" spans="1:13" x14ac:dyDescent="0.2">
      <c r="D16" s="5">
        <v>10</v>
      </c>
      <c r="E16" s="5" t="s">
        <v>140</v>
      </c>
      <c r="F16" s="5" t="s">
        <v>141</v>
      </c>
    </row>
  </sheetData>
  <mergeCells count="2">
    <mergeCell ref="A5:B5"/>
    <mergeCell ref="D5:F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D3419-D746-4255-95CF-06E7173E6102}">
  <sheetPr>
    <outlinePr summaryBelow="0" summaryRight="0"/>
    <pageSetUpPr fitToPage="1"/>
  </sheetPr>
  <dimension ref="A1:AD527"/>
  <sheetViews>
    <sheetView tabSelected="1" topLeftCell="A500" zoomScale="85" zoomScaleNormal="85" workbookViewId="0">
      <selection activeCell="B6" sqref="B6:I527"/>
    </sheetView>
  </sheetViews>
  <sheetFormatPr defaultColWidth="12.5703125" defaultRowHeight="15.75" customHeight="1" x14ac:dyDescent="0.2"/>
  <cols>
    <col min="2" max="2" width="19.85546875" bestFit="1" customWidth="1"/>
    <col min="3" max="3" width="29.28515625" customWidth="1"/>
    <col min="4" max="4" width="23.28515625" customWidth="1"/>
    <col min="5" max="5" width="21.5703125" customWidth="1"/>
    <col min="6" max="6" width="38" customWidth="1"/>
    <col min="7" max="7" width="13.7109375" bestFit="1" customWidth="1"/>
    <col min="8" max="8" width="13.7109375" customWidth="1"/>
    <col min="9" max="9" width="46.85546875" bestFit="1" customWidth="1"/>
    <col min="10" max="10" width="3.85546875" style="31" customWidth="1"/>
    <col min="11" max="11" width="15.5703125" customWidth="1"/>
    <col min="12" max="12" width="15.140625" style="20" bestFit="1" customWidth="1"/>
    <col min="13" max="13" width="20.140625" style="19" customWidth="1"/>
    <col min="14" max="14" width="14" style="23" bestFit="1" customWidth="1"/>
    <col min="16" max="16" width="13.28515625" bestFit="1" customWidth="1"/>
    <col min="17" max="17" width="46.85546875" style="5" bestFit="1" customWidth="1"/>
    <col min="18" max="18" width="13.5703125" customWidth="1"/>
    <col min="19" max="19" width="27" customWidth="1"/>
    <col min="20" max="20" width="37.7109375" style="5" bestFit="1" customWidth="1"/>
    <col min="21" max="21" width="64.28515625" bestFit="1" customWidth="1"/>
    <col min="24" max="24" width="22.140625" bestFit="1" customWidth="1"/>
    <col min="25" max="25" width="15.28515625" style="5" bestFit="1" customWidth="1"/>
    <col min="26" max="26" width="25.42578125" style="5" customWidth="1"/>
    <col min="27" max="27" width="32.85546875" bestFit="1" customWidth="1"/>
    <col min="28" max="28" width="29" customWidth="1"/>
    <col min="29" max="29" width="116.85546875" bestFit="1" customWidth="1"/>
    <col min="30" max="30" width="6.42578125" customWidth="1"/>
  </cols>
  <sheetData>
    <row r="1" spans="2:30" ht="15.75" customHeight="1" thickBot="1" x14ac:dyDescent="0.25"/>
    <row r="2" spans="2:30" ht="11.25" customHeight="1" thickBot="1" x14ac:dyDescent="0.25">
      <c r="K2" s="57" t="s">
        <v>95</v>
      </c>
      <c r="L2" s="58"/>
      <c r="M2" s="59" t="s">
        <v>96</v>
      </c>
      <c r="N2" s="60"/>
      <c r="O2" s="61" t="s">
        <v>97</v>
      </c>
      <c r="P2" s="62"/>
    </row>
    <row r="3" spans="2:30" ht="27.75" customHeight="1" thickBot="1" x14ac:dyDescent="0.25">
      <c r="B3" s="127" t="s">
        <v>89</v>
      </c>
      <c r="C3" s="127"/>
      <c r="D3" s="127"/>
      <c r="E3" s="127"/>
      <c r="F3" s="127"/>
      <c r="J3" s="32"/>
      <c r="K3" s="5"/>
      <c r="N3" s="126" t="s">
        <v>22</v>
      </c>
      <c r="O3" s="126"/>
      <c r="P3" s="126"/>
      <c r="Q3" s="126"/>
      <c r="R3" s="126"/>
      <c r="S3" s="126"/>
      <c r="T3" s="126"/>
      <c r="U3" s="126"/>
      <c r="W3" s="126" t="s">
        <v>144</v>
      </c>
      <c r="X3" s="126"/>
      <c r="Y3" s="126"/>
      <c r="Z3" s="126"/>
      <c r="AA3" s="126"/>
      <c r="AB3" s="126"/>
      <c r="AC3" s="126"/>
      <c r="AD3" s="126"/>
    </row>
    <row r="4" spans="2:30" ht="13.5" thickBot="1" x14ac:dyDescent="0.25">
      <c r="B4" s="127"/>
      <c r="C4" s="127"/>
      <c r="D4" s="127"/>
      <c r="E4" s="127"/>
      <c r="F4" s="127"/>
      <c r="J4" s="32"/>
      <c r="K4" s="5"/>
      <c r="M4" s="64" t="s">
        <v>82</v>
      </c>
      <c r="N4" s="24" t="s">
        <v>32</v>
      </c>
      <c r="O4" s="7" t="s">
        <v>33</v>
      </c>
      <c r="P4" s="7" t="s">
        <v>34</v>
      </c>
      <c r="Q4" s="7" t="s">
        <v>35</v>
      </c>
      <c r="R4" s="7" t="s">
        <v>36</v>
      </c>
      <c r="S4" s="7" t="s">
        <v>37</v>
      </c>
      <c r="T4" s="7" t="s">
        <v>621</v>
      </c>
      <c r="U4" s="7" t="s">
        <v>38</v>
      </c>
      <c r="W4" s="24" t="s">
        <v>142</v>
      </c>
      <c r="X4" s="24" t="s">
        <v>645</v>
      </c>
      <c r="Y4" s="24" t="s">
        <v>143</v>
      </c>
      <c r="Z4" s="80" t="s">
        <v>189</v>
      </c>
      <c r="AA4" s="7" t="s">
        <v>152</v>
      </c>
      <c r="AB4" s="7" t="s">
        <v>38</v>
      </c>
      <c r="AC4" s="7" t="s">
        <v>35</v>
      </c>
      <c r="AD4" s="7" t="s">
        <v>38</v>
      </c>
    </row>
    <row r="5" spans="2:30" ht="15.75" customHeight="1" thickBot="1" x14ac:dyDescent="0.25">
      <c r="M5" s="19">
        <f t="shared" ref="M5:M11" si="0">M11</f>
        <v>15.3</v>
      </c>
      <c r="N5" s="25" t="s">
        <v>212</v>
      </c>
      <c r="O5" s="4" t="s">
        <v>123</v>
      </c>
      <c r="P5" s="4" t="s">
        <v>317</v>
      </c>
      <c r="Q5" s="6" t="s">
        <v>323</v>
      </c>
      <c r="R5" s="4">
        <v>12</v>
      </c>
      <c r="S5" s="4" t="s">
        <v>54</v>
      </c>
      <c r="T5" s="4">
        <v>400</v>
      </c>
      <c r="U5" s="136" t="s">
        <v>324</v>
      </c>
      <c r="W5" s="56">
        <v>1</v>
      </c>
      <c r="X5" s="56" t="s">
        <v>648</v>
      </c>
      <c r="Y5" s="56" t="s">
        <v>145</v>
      </c>
      <c r="Z5" s="56"/>
      <c r="AA5" s="56" t="s">
        <v>153</v>
      </c>
      <c r="AB5" s="56" t="s">
        <v>646</v>
      </c>
      <c r="AC5" t="s">
        <v>169</v>
      </c>
    </row>
    <row r="6" spans="2:30" ht="23.25" x14ac:dyDescent="0.35">
      <c r="B6" s="38" t="str">
        <f>_xlfn.XLOOKUP(C6,$N$145:$N$196,$M$145:$M$196)</f>
        <v>PS-ECU-FI</v>
      </c>
      <c r="C6" s="39" t="s">
        <v>341</v>
      </c>
      <c r="D6" s="40"/>
      <c r="E6" s="41"/>
      <c r="F6" s="42" t="str">
        <f>_xlfn.XLOOKUP(C6,$N$145:$N$196,$O$145:$O$196)</f>
        <v>PS to ECU Harness - FI Power</v>
      </c>
      <c r="M6" s="19">
        <f t="shared" si="0"/>
        <v>10.65</v>
      </c>
      <c r="N6" s="25" t="s">
        <v>213</v>
      </c>
      <c r="O6" s="4" t="s">
        <v>123</v>
      </c>
      <c r="P6" s="4" t="s">
        <v>318</v>
      </c>
      <c r="Q6" s="6" t="s">
        <v>323</v>
      </c>
      <c r="R6" s="4">
        <v>12</v>
      </c>
      <c r="S6" s="4" t="s">
        <v>54</v>
      </c>
      <c r="T6" s="4">
        <v>400</v>
      </c>
      <c r="U6" s="137"/>
      <c r="W6" s="56">
        <v>2</v>
      </c>
      <c r="X6" s="56" t="s">
        <v>647</v>
      </c>
      <c r="Y6" s="56" t="s">
        <v>145</v>
      </c>
      <c r="Z6" s="56"/>
      <c r="AA6" s="56" t="s">
        <v>154</v>
      </c>
      <c r="AC6" t="s">
        <v>170</v>
      </c>
    </row>
    <row r="7" spans="2:30" ht="15.75" customHeight="1" x14ac:dyDescent="0.2">
      <c r="B7" s="43" t="s">
        <v>0</v>
      </c>
      <c r="C7" s="11" t="str">
        <f>_xlfn.XLOOKUP(C6,$N$145:$N$196,$R$145:$R$196)</f>
        <v>DT04-6P</v>
      </c>
      <c r="D7" s="37"/>
      <c r="E7" s="37"/>
      <c r="F7" s="44"/>
      <c r="M7" s="19">
        <f t="shared" si="0"/>
        <v>10.15</v>
      </c>
      <c r="N7" s="25" t="s">
        <v>214</v>
      </c>
      <c r="O7" s="4" t="s">
        <v>123</v>
      </c>
      <c r="P7" s="4" t="s">
        <v>319</v>
      </c>
      <c r="Q7" s="6" t="s">
        <v>323</v>
      </c>
      <c r="R7" s="4">
        <v>12</v>
      </c>
      <c r="S7" s="4" t="s">
        <v>54</v>
      </c>
      <c r="T7" s="4">
        <v>400</v>
      </c>
      <c r="U7" s="137"/>
      <c r="W7" s="56">
        <v>3</v>
      </c>
      <c r="X7" s="56" t="s">
        <v>647</v>
      </c>
      <c r="Y7" s="56" t="s">
        <v>145</v>
      </c>
      <c r="Z7" s="56"/>
      <c r="AA7" s="56" t="s">
        <v>155</v>
      </c>
      <c r="AC7" t="s">
        <v>171</v>
      </c>
    </row>
    <row r="8" spans="2:30" ht="15.75" customHeight="1" x14ac:dyDescent="0.2">
      <c r="B8" s="43" t="s">
        <v>1</v>
      </c>
      <c r="C8" s="45" t="s">
        <v>2</v>
      </c>
      <c r="D8" s="11"/>
      <c r="E8" s="11"/>
      <c r="F8" s="44"/>
      <c r="M8" s="19">
        <f t="shared" si="0"/>
        <v>14.3</v>
      </c>
      <c r="N8" s="25" t="s">
        <v>215</v>
      </c>
      <c r="O8" s="4" t="s">
        <v>123</v>
      </c>
      <c r="P8" s="4" t="s">
        <v>320</v>
      </c>
      <c r="Q8" s="6" t="s">
        <v>323</v>
      </c>
      <c r="R8" s="4">
        <v>12</v>
      </c>
      <c r="S8" s="4" t="s">
        <v>54</v>
      </c>
      <c r="T8" s="4">
        <v>400</v>
      </c>
      <c r="U8" s="137"/>
      <c r="W8" s="56">
        <v>4</v>
      </c>
      <c r="X8" s="56" t="s">
        <v>647</v>
      </c>
      <c r="Y8" s="56" t="s">
        <v>146</v>
      </c>
      <c r="Z8" s="56"/>
      <c r="AA8" s="56" t="s">
        <v>156</v>
      </c>
      <c r="AC8" t="s">
        <v>172</v>
      </c>
    </row>
    <row r="9" spans="2:30" ht="15.75" customHeight="1" x14ac:dyDescent="0.2">
      <c r="B9" s="43" t="s">
        <v>3</v>
      </c>
      <c r="C9" s="30" t="str">
        <f>IF(_xlfn.XLOOKUP(C6,$N$145:$N$196,$T$145:$T$196,)=0,"", _xlfn.XLOOKUP(C6,$N$145:$N$196,$T$145:$T$196,))</f>
        <v/>
      </c>
      <c r="D9" s="46"/>
      <c r="E9" s="1"/>
      <c r="F9" s="44"/>
      <c r="J9" s="32"/>
      <c r="K9" s="5"/>
      <c r="M9" s="19">
        <f t="shared" si="0"/>
        <v>23.15</v>
      </c>
      <c r="N9" s="25" t="s">
        <v>216</v>
      </c>
      <c r="O9" s="4" t="s">
        <v>123</v>
      </c>
      <c r="P9" s="4" t="s">
        <v>321</v>
      </c>
      <c r="Q9" s="6" t="s">
        <v>323</v>
      </c>
      <c r="R9" s="4">
        <v>12</v>
      </c>
      <c r="S9" s="4" t="s">
        <v>54</v>
      </c>
      <c r="T9" s="4">
        <v>400</v>
      </c>
      <c r="U9" s="137"/>
      <c r="W9" s="56">
        <v>5</v>
      </c>
      <c r="X9" s="56" t="s">
        <v>647</v>
      </c>
      <c r="Y9" s="56" t="s">
        <v>146</v>
      </c>
      <c r="Z9" s="56"/>
      <c r="AA9" s="56" t="s">
        <v>157</v>
      </c>
      <c r="AC9" t="s">
        <v>173</v>
      </c>
    </row>
    <row r="10" spans="2:30" ht="15.75" customHeight="1" x14ac:dyDescent="0.2">
      <c r="B10" s="47"/>
      <c r="C10" s="1"/>
      <c r="D10" s="1"/>
      <c r="E10" s="1"/>
      <c r="F10" s="44"/>
      <c r="J10" s="32"/>
      <c r="K10" s="5"/>
      <c r="M10" s="19">
        <f t="shared" si="0"/>
        <v>22.15</v>
      </c>
      <c r="N10" s="25" t="s">
        <v>217</v>
      </c>
      <c r="O10" s="4" t="s">
        <v>123</v>
      </c>
      <c r="P10" s="4" t="s">
        <v>322</v>
      </c>
      <c r="Q10" s="6" t="s">
        <v>323</v>
      </c>
      <c r="R10" s="4">
        <v>12</v>
      </c>
      <c r="S10" s="4" t="s">
        <v>54</v>
      </c>
      <c r="T10" s="4">
        <v>400</v>
      </c>
      <c r="U10" s="137"/>
      <c r="W10" s="56">
        <v>6</v>
      </c>
      <c r="X10" s="56" t="s">
        <v>647</v>
      </c>
      <c r="Y10" s="56" t="s">
        <v>146</v>
      </c>
      <c r="Z10" s="56"/>
      <c r="AA10" s="56" t="s">
        <v>158</v>
      </c>
      <c r="AC10" t="s">
        <v>174</v>
      </c>
    </row>
    <row r="11" spans="2:30" ht="15.75" customHeight="1" x14ac:dyDescent="0.2">
      <c r="B11" s="47"/>
      <c r="C11" s="1"/>
      <c r="D11" s="1"/>
      <c r="E11" s="1"/>
      <c r="F11" s="44"/>
      <c r="M11" s="19">
        <f t="shared" si="0"/>
        <v>15.3</v>
      </c>
      <c r="N11" s="25" t="s">
        <v>218</v>
      </c>
      <c r="O11" s="4" t="s">
        <v>317</v>
      </c>
      <c r="P11" s="4" t="s">
        <v>327</v>
      </c>
      <c r="Q11" s="4" t="s">
        <v>325</v>
      </c>
      <c r="R11" s="5">
        <v>12</v>
      </c>
      <c r="S11" s="4" t="s">
        <v>54</v>
      </c>
      <c r="T11" s="5">
        <v>100</v>
      </c>
      <c r="U11" s="63"/>
      <c r="W11" s="56"/>
      <c r="X11" s="56"/>
      <c r="Y11" s="56"/>
      <c r="Z11" s="56"/>
      <c r="AA11" s="56"/>
    </row>
    <row r="12" spans="2:30" ht="15.75" customHeight="1" thickBot="1" x14ac:dyDescent="0.25">
      <c r="B12" s="72" t="s">
        <v>4</v>
      </c>
      <c r="C12" s="73" t="s">
        <v>85</v>
      </c>
      <c r="D12" s="73" t="s">
        <v>83</v>
      </c>
      <c r="E12" s="73" t="s">
        <v>84</v>
      </c>
      <c r="F12" s="74" t="s">
        <v>86</v>
      </c>
      <c r="G12" s="84" t="s">
        <v>11</v>
      </c>
      <c r="H12" s="85" t="s">
        <v>581</v>
      </c>
      <c r="I12" s="85" t="s">
        <v>90</v>
      </c>
      <c r="J12" s="33"/>
      <c r="K12" s="2"/>
      <c r="M12" s="19">
        <f>M21</f>
        <v>10.65</v>
      </c>
      <c r="N12" s="25" t="s">
        <v>219</v>
      </c>
      <c r="O12" s="4" t="s">
        <v>318</v>
      </c>
      <c r="P12" s="4" t="s">
        <v>326</v>
      </c>
      <c r="Q12" s="4" t="s">
        <v>328</v>
      </c>
      <c r="R12" s="5">
        <v>12</v>
      </c>
      <c r="S12" s="4" t="s">
        <v>54</v>
      </c>
      <c r="T12" s="4">
        <v>100</v>
      </c>
      <c r="U12" s="63"/>
      <c r="W12" s="56">
        <v>7</v>
      </c>
      <c r="X12" s="56" t="s">
        <v>648</v>
      </c>
      <c r="Y12" s="56" t="s">
        <v>147</v>
      </c>
      <c r="Z12" s="56"/>
      <c r="AA12" s="56" t="s">
        <v>159</v>
      </c>
      <c r="AB12" s="56" t="s">
        <v>646</v>
      </c>
      <c r="AC12" t="s">
        <v>175</v>
      </c>
    </row>
    <row r="13" spans="2:30" ht="15.75" customHeight="1" x14ac:dyDescent="0.2">
      <c r="B13" s="77">
        <v>1</v>
      </c>
      <c r="C13" s="69" t="e">
        <f>IF(LEFT($C$7,3)="DTM",
    IF(OR(MID($C$7,4,2)="06",MID($C$7,4,2)="04"),
        IF($D13="Plug",#REF!,
            IF($D13="Key",#REF!,
                IF(AND($D13&lt;=#REF!,$D13&gt;=#REF!),
                    INDEX(#REF!,MATCH(MID($C$7,4,2),{"04","06"},0)),
                    IF(AND($D13&lt;=#REF!,$D13&gt;=#REF!),
                        INDEX(#REF!,MATCH(MID($C$7,4,2),{"04","06"},0)),
                        "NOT IN DTM RANGE")))),
        "MUST BE 06 OR 04"),
    IF(LEFT($C$7,2)="DT",
        IF(OR(MID($C$7,3,2)="06",MID($C$7,3,2)="04"),
            IF($D13="Plug",#REF!,
                IF($D13="Key",#REF!,
                    IF(AND($D13&lt;=#REF!,$D13&gt;=#REF!),
                        INDEX(#REF!,MATCH(MID($C$7,3,2),{"04","06"},0)),
                        IF(AND($D13&lt;=#REF!,$D13&gt;=#REF!),
                            INDEX(#REF!,MATCH(MID($C$7,3,2),{"04","06"},0)),
                            "NOT IN DT RANGE")))),
            "MUST BE 06 OR 04"),
        "OTHER THAN DTM OR DT"))</f>
        <v>#REF!</v>
      </c>
      <c r="D13" s="69">
        <f>_xlfn.XLOOKUP($G13,$N$5:$N$116,$R$5:$R$116)</f>
        <v>16</v>
      </c>
      <c r="E13" s="69" t="str">
        <f>_xlfn.XLOOKUP($G13,$N$5:$N$116,$S$5:$S$116)</f>
        <v>RED</v>
      </c>
      <c r="F13" s="78" t="str">
        <f>_xlfn.TEXTJOIN(" / ", TRUE,_xlfn.XLOOKUP($G13,$N$5:$N$116,$O$5:$O$116), _xlfn.XLOOKUP($G13,$N$5:$N$116,$P$5:$P$116))</f>
        <v>F9 / P1-C1</v>
      </c>
      <c r="G13" s="36" t="s">
        <v>234</v>
      </c>
      <c r="H13" s="13">
        <f>_xlfn.XLOOKUP($G13,$N$5:$N$116,$M$5:$M$116)</f>
        <v>4.75</v>
      </c>
      <c r="I13" s="13" t="str">
        <f>_xlfn.XLOOKUP($G13,$N$5:$N$116,$Q$5:$Q$116)</f>
        <v>Fuel Injector PWR</v>
      </c>
      <c r="M13" s="19">
        <f>M32</f>
        <v>10.15</v>
      </c>
      <c r="N13" s="25" t="s">
        <v>220</v>
      </c>
      <c r="O13" s="4" t="s">
        <v>319</v>
      </c>
      <c r="P13" s="4" t="s">
        <v>330</v>
      </c>
      <c r="Q13" s="4" t="s">
        <v>329</v>
      </c>
      <c r="R13" s="5">
        <v>12</v>
      </c>
      <c r="S13" s="4" t="s">
        <v>54</v>
      </c>
      <c r="T13" s="5">
        <v>100</v>
      </c>
      <c r="U13" s="63"/>
      <c r="W13" s="56">
        <v>8</v>
      </c>
      <c r="X13" s="56" t="s">
        <v>647</v>
      </c>
      <c r="Y13" s="56" t="s">
        <v>148</v>
      </c>
      <c r="Z13" s="56"/>
      <c r="AA13" s="56" t="s">
        <v>160</v>
      </c>
      <c r="AC13" t="s">
        <v>176</v>
      </c>
    </row>
    <row r="14" spans="2:30" ht="19.5" customHeight="1" x14ac:dyDescent="0.2">
      <c r="B14" s="14">
        <v>2</v>
      </c>
      <c r="C14" s="13" t="e">
        <f>IF(LEFT($C$7,3)="DTM",
    IF(OR(MID($C$7,4,2)="06",MID($C$7,4,2)="04"),
        IF($D14="Plug",#REF!,
            IF($D14="Key",#REF!,
                IF(AND($D14&lt;=#REF!,$D14&gt;=#REF!),
                    INDEX(#REF!,MATCH(MID($C$7,4,2),{"04","06"},0)),
                    IF(AND($D14&lt;=#REF!,$D14&gt;=#REF!),
                        INDEX(#REF!,MATCH(MID($C$7,4,2),{"04","06"},0)),
                        "NOT IN DTM RANGE")))),
        "MUST BE 06 OR 04"),
    IF(LEFT($C$7,2)="DT",
        IF(OR(MID($C$7,3,2)="06",MID($C$7,3,2)="04"),
            IF($D14="Plug",#REF!,
                IF($D14="Key",#REF!,
                    IF(AND($D14&lt;=#REF!,$D14&gt;=#REF!),
                        INDEX(#REF!,MATCH(MID($C$7,3,2),{"04","06"},0)),
                        IF(AND($D14&lt;=#REF!,$D14&gt;=#REF!),
                            INDEX(#REF!,MATCH(MID($C$7,3,2),{"04","06"},0)),
                            "NOT IN DT RANGE")))),
            "MUST BE 06 OR 04"),
        "OTHER THAN DTM OR DT"))</f>
        <v>#REF!</v>
      </c>
      <c r="D14" s="13">
        <f t="shared" ref="D14:D17" si="1">_xlfn.XLOOKUP($G14,$N$5:$N$116,$R$5:$R$116)</f>
        <v>14</v>
      </c>
      <c r="E14" s="13" t="str">
        <f t="shared" ref="E14:E17" si="2">_xlfn.XLOOKUP($G14,$N$5:$N$116,$S$5:$S$116)</f>
        <v>RED</v>
      </c>
      <c r="F14" s="48" t="str">
        <f>_xlfn.TEXTJOIN(" / ", TRUE,_xlfn.XLOOKUP($G14,$N$5:$N$116,$O$5:$O$116), _xlfn.XLOOKUP($G14,$N$5:$N$116,$P$5:$P$116))</f>
        <v>J1 / P2-C1</v>
      </c>
      <c r="G14" s="36" t="s">
        <v>225</v>
      </c>
      <c r="H14" s="13">
        <f>_xlfn.XLOOKUP($G14,$N$5:$N$116,$M$5:$M$116)</f>
        <v>15</v>
      </c>
      <c r="I14" s="13" t="str">
        <f t="shared" ref="I14:I17" si="3">_xlfn.XLOOKUP($G14,$N$5:$N$116,$Q$5:$Q$116)</f>
        <v>(Relay 1 P87) 12V PWR for COP</v>
      </c>
      <c r="M14" s="19">
        <f>M39</f>
        <v>14.3</v>
      </c>
      <c r="N14" s="25" t="s">
        <v>221</v>
      </c>
      <c r="O14" s="4" t="s">
        <v>320</v>
      </c>
      <c r="P14" s="4" t="s">
        <v>331</v>
      </c>
      <c r="Q14" s="4" t="s">
        <v>332</v>
      </c>
      <c r="R14" s="5">
        <v>12</v>
      </c>
      <c r="S14" s="4" t="s">
        <v>54</v>
      </c>
      <c r="T14" s="5">
        <v>100</v>
      </c>
      <c r="U14" s="63"/>
      <c r="W14" s="56">
        <v>9</v>
      </c>
      <c r="X14" s="56" t="s">
        <v>647</v>
      </c>
      <c r="Y14" s="56" t="s">
        <v>149</v>
      </c>
      <c r="Z14" s="56"/>
      <c r="AA14" s="56" t="s">
        <v>161</v>
      </c>
      <c r="AC14" t="s">
        <v>177</v>
      </c>
    </row>
    <row r="15" spans="2:30" ht="15.75" customHeight="1" x14ac:dyDescent="0.2">
      <c r="B15" s="14">
        <v>3</v>
      </c>
      <c r="C15" s="13" t="e">
        <f>IF(LEFT($C$7,3)="DTM",
    IF(OR(MID($C$7,4,2)="06",MID($C$7,4,2)="04"),
        IF($D15="Plug",#REF!,
            IF($D15="Key",#REF!,
                IF(AND($D15&lt;=#REF!,$D15&gt;=#REF!),
                    INDEX(#REF!,MATCH(MID($C$7,4,2),{"04","06"},0)),
                    IF(AND($D15&lt;=#REF!,$D15&gt;=#REF!),
                        INDEX(#REF!,MATCH(MID($C$7,4,2),{"04","06"},0)),
                        "NOT IN DTM RANGE")))),
        "MUST BE 06 OR 04"),
    IF(LEFT($C$7,2)="DT",
        IF(OR(MID($C$7,3,2)="06",MID($C$7,3,2)="04"),
            IF($D15="Plug",#REF!,
                IF($D15="Key",#REF!,
                    IF(AND($D15&lt;=#REF!,$D15&gt;=#REF!),
                        INDEX(#REF!,MATCH(MID($C$7,3,2),{"04","06"},0)),
                        IF(AND($D15&lt;=#REF!,$D15&gt;=#REF!),
                            INDEX(#REF!,MATCH(MID($C$7,3,2),{"04","06"},0)),
                            "NOT IN DT RANGE")))),
            "MUST BE 06 OR 04"),
        "OTHER THAN DTM OR DT"))</f>
        <v>#REF!</v>
      </c>
      <c r="D15" s="13">
        <f t="shared" si="1"/>
        <v>16</v>
      </c>
      <c r="E15" s="13" t="str">
        <f t="shared" si="2"/>
        <v>RED</v>
      </c>
      <c r="F15" s="48" t="str">
        <f>_xlfn.TEXTJOIN(" / ", TRUE,_xlfn.XLOOKUP($G15,$N$5:$N$116,$O$5:$O$116), _xlfn.XLOOKUP($G15,$N$5:$N$116,$P$5:$P$116))</f>
        <v>J7 / P3-C1</v>
      </c>
      <c r="G15" s="36" t="s">
        <v>242</v>
      </c>
      <c r="H15" s="13">
        <f t="shared" ref="H15:H18" si="4">_xlfn.XLOOKUP($G15,$N$5:$N$116,$M$5:$M$116)</f>
        <v>5</v>
      </c>
      <c r="I15" s="13" t="str">
        <f t="shared" si="3"/>
        <v>Fan Supply Power 1</v>
      </c>
      <c r="M15" s="19">
        <f>M75</f>
        <v>23.15</v>
      </c>
      <c r="N15" s="25" t="s">
        <v>222</v>
      </c>
      <c r="O15" s="4" t="s">
        <v>321</v>
      </c>
      <c r="P15" s="4" t="s">
        <v>335</v>
      </c>
      <c r="Q15" s="4" t="s">
        <v>333</v>
      </c>
      <c r="R15" s="5">
        <v>12</v>
      </c>
      <c r="S15" s="4" t="s">
        <v>54</v>
      </c>
      <c r="T15" s="4">
        <v>100</v>
      </c>
      <c r="U15" s="63"/>
      <c r="W15" s="56"/>
      <c r="X15" s="56"/>
      <c r="Y15" s="56"/>
      <c r="Z15" s="56"/>
      <c r="AA15" s="56"/>
    </row>
    <row r="16" spans="2:30" ht="18.75" customHeight="1" x14ac:dyDescent="0.2">
      <c r="B16" s="14">
        <v>4</v>
      </c>
      <c r="C16" s="13" t="e">
        <f>IF(LEFT($C$7,3)="DTM",
    IF(OR(MID($C$7,4,2)="06",MID($C$7,4,2)="04"),
        IF($D16="Plug",#REF!,
            IF($D16="Key",#REF!,
                IF(AND($D16&lt;=#REF!,$D16&gt;=#REF!),
                    INDEX(#REF!,MATCH(MID($C$7,4,2),{"04","06"},0)),
                    IF(AND($D16&lt;=#REF!,$D16&gt;=#REF!),
                        INDEX(#REF!,MATCH(MID($C$7,4,2),{"04","06"},0)),
                        "NOT IN DTM RANGE")))),
        "MUST BE 06 OR 04"),
    IF(LEFT($C$7,2)="DT",
        IF(OR(MID($C$7,3,2)="06",MID($C$7,3,2)="04"),
            IF($D16="Plug",#REF!,
                IF($D16="Key",#REF!,
                    IF(AND($D16&lt;=#REF!,$D16&gt;=#REF!),
                        INDEX(#REF!,MATCH(MID($C$7,3,2),{"04","06"},0)),
                        IF(AND($D16&lt;=#REF!,$D16&gt;=#REF!),
                            INDEX(#REF!,MATCH(MID($C$7,3,2),{"04","06"},0)),
                            "NOT IN DT RANGE")))),
            "MUST BE 06 OR 04"),
        "OTHER THAN DTM OR DT"))</f>
        <v>#REF!</v>
      </c>
      <c r="D16" s="13">
        <f t="shared" si="1"/>
        <v>16</v>
      </c>
      <c r="E16" s="13" t="str">
        <f t="shared" si="2"/>
        <v>RED</v>
      </c>
      <c r="F16" s="48" t="str">
        <f>_xlfn.TEXTJOIN(" / ", TRUE,_xlfn.XLOOKUP($G16,$N$5:$N$116,$O$5:$O$116), _xlfn.XLOOKUP($G16,$N$5:$N$116,$P$5:$P$116))</f>
        <v>J7 / P4-C1</v>
      </c>
      <c r="G16" s="36" t="s">
        <v>243</v>
      </c>
      <c r="H16" s="13">
        <f t="shared" si="4"/>
        <v>5</v>
      </c>
      <c r="I16" s="13" t="str">
        <f t="shared" si="3"/>
        <v>Fan Supply Power 2</v>
      </c>
      <c r="M16" s="19">
        <f>M88</f>
        <v>22.15</v>
      </c>
      <c r="N16" s="25" t="s">
        <v>223</v>
      </c>
      <c r="O16" s="4" t="s">
        <v>322</v>
      </c>
      <c r="P16" s="4" t="s">
        <v>336</v>
      </c>
      <c r="Q16" s="4" t="s">
        <v>334</v>
      </c>
      <c r="R16" s="5">
        <v>12</v>
      </c>
      <c r="S16" s="4" t="s">
        <v>54</v>
      </c>
      <c r="T16" s="5">
        <v>100</v>
      </c>
      <c r="U16" s="63"/>
      <c r="W16" s="56">
        <v>10</v>
      </c>
      <c r="X16" s="56" t="s">
        <v>647</v>
      </c>
      <c r="Y16" s="56" t="s">
        <v>148</v>
      </c>
      <c r="Z16" s="56"/>
      <c r="AA16" s="56" t="s">
        <v>162</v>
      </c>
      <c r="AC16" t="s">
        <v>178</v>
      </c>
    </row>
    <row r="17" spans="2:30" ht="12.75" x14ac:dyDescent="0.2">
      <c r="B17" s="14">
        <v>5</v>
      </c>
      <c r="C17" s="13" t="e">
        <f>IF(LEFT($C$7,3)="DTM",
    IF(OR(MID($C$7,4,2)="06",MID($C$7,4,2)="04"),
        IF($D17="Plug",#REF!,
            IF($D17="Key",#REF!,
                IF(AND($D17&lt;=#REF!,$D17&gt;=#REF!),
                    INDEX(#REF!,MATCH(MID($C$7,4,2),{"04","06"},0)),
                    IF(AND($D17&lt;=#REF!,$D17&gt;=#REF!),
                        INDEX(#REF!,MATCH(MID($C$7,4,2),{"04","06"},0)),
                        "NOT IN DTM RANGE")))),
        "MUST BE 06 OR 04"),
    IF(LEFT($C$7,2)="DT",
        IF(OR(MID($C$7,3,2)="06",MID($C$7,3,2)="04"),
            IF($D17="Plug",#REF!,
                IF($D17="Key",#REF!,
                    IF(AND($D17&lt;=#REF!,$D17&gt;=#REF!),
                        INDEX(#REF!,MATCH(MID($C$7,3,2),{"04","06"},0)),
                        IF(AND($D17&lt;=#REF!,$D17&gt;=#REF!),
                            INDEX(#REF!,MATCH(MID($C$7,3,2),{"04","06"},0)),
                            "NOT IN DT RANGE")))),
            "MUST BE 06 OR 04"),
        "OTHER THAN DTM OR DT"))</f>
        <v>#REF!</v>
      </c>
      <c r="D17" s="13">
        <f t="shared" si="1"/>
        <v>14</v>
      </c>
      <c r="E17" s="13" t="str">
        <f t="shared" si="2"/>
        <v>RED</v>
      </c>
      <c r="F17" s="48" t="str">
        <f>_xlfn.TEXTJOIN(" / ", TRUE,_xlfn.XLOOKUP($G17,$N$5:$N$116,$O$5:$O$116), _xlfn.XLOOKUP($G17,$N$5:$N$116,$P$5:$P$116))</f>
        <v>RLY7-P87 / P5-C1</v>
      </c>
      <c r="G17" s="36" t="s">
        <v>235</v>
      </c>
      <c r="H17" s="13">
        <f t="shared" si="4"/>
        <v>5.75</v>
      </c>
      <c r="I17" s="13" t="str">
        <f t="shared" si="3"/>
        <v>Fuel Pump PWR</v>
      </c>
      <c r="M17" s="19">
        <f>M18+M19+M20</f>
        <v>15.3</v>
      </c>
      <c r="N17" s="25" t="s">
        <v>224</v>
      </c>
      <c r="O17" s="4" t="s">
        <v>338</v>
      </c>
      <c r="P17" s="4" t="s">
        <v>104</v>
      </c>
      <c r="Q17" s="6" t="s">
        <v>339</v>
      </c>
      <c r="R17" s="4">
        <v>12</v>
      </c>
      <c r="S17" s="4" t="s">
        <v>54</v>
      </c>
      <c r="T17" s="5">
        <v>75</v>
      </c>
      <c r="U17" s="5"/>
      <c r="W17" s="56">
        <v>11</v>
      </c>
      <c r="X17" s="56" t="s">
        <v>647</v>
      </c>
      <c r="Y17" s="56" t="s">
        <v>147</v>
      </c>
      <c r="Z17" s="56"/>
      <c r="AA17" s="56" t="s">
        <v>163</v>
      </c>
      <c r="AC17" t="s">
        <v>179</v>
      </c>
    </row>
    <row r="18" spans="2:30" ht="13.5" thickBot="1" x14ac:dyDescent="0.25">
      <c r="B18" s="49">
        <v>6</v>
      </c>
      <c r="C18" s="16" t="e">
        <f>IF(LEFT($C$7,3)="DTM",
    IF(OR(MID($C$7,4,2)="06",MID($C$7,4,2)="04"),
        IF($D18="Plug",#REF!,
            IF($D18="Key",#REF!,
                IF(AND($D18&lt;=#REF!,$D18&gt;=#REF!),
                    INDEX(#REF!,MATCH(MID($C$7,4,2),{"04","06"},0)),
                    IF(AND($D18&lt;=#REF!,$D18&gt;=#REF!),
                        INDEX(#REF!,MATCH(MID($C$7,4,2),{"04","06"},0)),
                        "NOT IN DTM RANGE")))),
        "MUST BE 06 OR 04"),
    IF(LEFT($C$7,2)="DT",
        IF(OR(MID($C$7,3,2)="06",MID($C$7,3,2)="04"),
            IF($D18="Plug",#REF!,
                IF($D18="Key",#REF!,
                    IF(AND($D18&lt;=#REF!,$D18&gt;=#REF!),
                        INDEX(#REF!,MATCH(MID($C$7,3,2),{"04","06"},0)),
                        IF(AND($D18&lt;=#REF!,$D18&gt;=#REF!),
                            INDEX(#REF!,MATCH(MID($C$7,3,2),{"04","06"},0)),
                            "NOT IN DT RANGE")))),
            "MUST BE 06 OR 04"),
        "OTHER THAN DTM OR DT"))</f>
        <v>#REF!</v>
      </c>
      <c r="D18" s="16" t="s">
        <v>57</v>
      </c>
      <c r="E18" s="16"/>
      <c r="F18" s="50"/>
      <c r="G18" s="36" t="s">
        <v>92</v>
      </c>
      <c r="H18" s="13" t="e">
        <f t="shared" si="4"/>
        <v>#N/A</v>
      </c>
      <c r="I18" s="13"/>
      <c r="M18" s="19">
        <v>15</v>
      </c>
      <c r="N18" s="25" t="s">
        <v>225</v>
      </c>
      <c r="O18" s="4" t="s">
        <v>104</v>
      </c>
      <c r="P18" s="4" t="s">
        <v>101</v>
      </c>
      <c r="Q18" s="4" t="s">
        <v>340</v>
      </c>
      <c r="R18" s="5">
        <v>14</v>
      </c>
      <c r="S18" s="4" t="s">
        <v>54</v>
      </c>
      <c r="T18" s="5">
        <v>500</v>
      </c>
      <c r="U18" s="5"/>
      <c r="W18" s="56"/>
      <c r="X18" s="56"/>
      <c r="Y18" s="56"/>
      <c r="Z18" s="56"/>
      <c r="AA18" s="56"/>
    </row>
    <row r="19" spans="2:30" ht="12.75" x14ac:dyDescent="0.2">
      <c r="M19" s="19">
        <v>0.15</v>
      </c>
      <c r="N19" s="25" t="s">
        <v>226</v>
      </c>
      <c r="O19" s="4" t="s">
        <v>104</v>
      </c>
      <c r="P19" s="4" t="s">
        <v>345</v>
      </c>
      <c r="Q19" s="4" t="s">
        <v>344</v>
      </c>
      <c r="R19" s="5">
        <v>20</v>
      </c>
      <c r="S19" s="4" t="s">
        <v>54</v>
      </c>
      <c r="T19" s="5">
        <v>100</v>
      </c>
      <c r="U19" s="5"/>
      <c r="W19" s="56">
        <v>12</v>
      </c>
      <c r="X19" s="56" t="s">
        <v>647</v>
      </c>
      <c r="Y19" s="56" t="s">
        <v>149</v>
      </c>
      <c r="Z19" s="56"/>
      <c r="AA19" s="56" t="s">
        <v>164</v>
      </c>
      <c r="AC19" t="s">
        <v>180</v>
      </c>
    </row>
    <row r="20" spans="2:30" ht="15.75" customHeight="1" thickBot="1" x14ac:dyDescent="0.25">
      <c r="M20" s="19">
        <v>0.15</v>
      </c>
      <c r="N20" s="25" t="s">
        <v>227</v>
      </c>
      <c r="O20" s="4" t="s">
        <v>104</v>
      </c>
      <c r="P20" s="4" t="s">
        <v>346</v>
      </c>
      <c r="Q20" s="4" t="s">
        <v>343</v>
      </c>
      <c r="R20" s="5">
        <v>20</v>
      </c>
      <c r="S20" s="4" t="s">
        <v>54</v>
      </c>
      <c r="T20" s="5">
        <v>100</v>
      </c>
      <c r="U20" s="5"/>
      <c r="W20" s="56">
        <v>13</v>
      </c>
      <c r="X20" s="56" t="s">
        <v>647</v>
      </c>
      <c r="Y20" s="56" t="s">
        <v>149</v>
      </c>
      <c r="Z20" s="56"/>
      <c r="AA20" s="56" t="s">
        <v>165</v>
      </c>
      <c r="AC20" t="s">
        <v>181</v>
      </c>
    </row>
    <row r="21" spans="2:30" ht="23.25" x14ac:dyDescent="0.35">
      <c r="B21" s="38" t="str">
        <f>_xlfn.XLOOKUP(C21,$N$145:$N$196,$M$145:$M$196)</f>
        <v>PS-ECU-O</v>
      </c>
      <c r="C21" s="39" t="s">
        <v>365</v>
      </c>
      <c r="D21" s="40"/>
      <c r="E21" s="41"/>
      <c r="F21" s="42" t="str">
        <f>_xlfn.XLOOKUP(C21,$N$145:$N$196,$O$145:$O$196)</f>
        <v>PS to ECU Harness - Outputs</v>
      </c>
      <c r="M21" s="19">
        <f>M22+M23</f>
        <v>10.65</v>
      </c>
      <c r="N21" s="25" t="s">
        <v>228</v>
      </c>
      <c r="O21" s="4" t="s">
        <v>349</v>
      </c>
      <c r="P21" s="5" t="s">
        <v>106</v>
      </c>
      <c r="Q21" s="6" t="s">
        <v>347</v>
      </c>
      <c r="R21" s="5">
        <v>12</v>
      </c>
      <c r="S21" s="4" t="s">
        <v>54</v>
      </c>
      <c r="T21" s="5">
        <v>65</v>
      </c>
      <c r="U21" s="5"/>
      <c r="W21" s="56">
        <v>14</v>
      </c>
      <c r="X21" s="56" t="s">
        <v>650</v>
      </c>
      <c r="Y21" s="56" t="s">
        <v>150</v>
      </c>
      <c r="Z21" s="56"/>
      <c r="AA21" s="56" t="s">
        <v>166</v>
      </c>
      <c r="AB21" s="56" t="s">
        <v>651</v>
      </c>
      <c r="AC21" t="s">
        <v>182</v>
      </c>
    </row>
    <row r="22" spans="2:30" ht="15.75" customHeight="1" x14ac:dyDescent="0.2">
      <c r="B22" s="43" t="s">
        <v>0</v>
      </c>
      <c r="C22" s="11" t="str">
        <f>_xlfn.XLOOKUP(C21,$N$145:$N$196,$R$145:$R$196)</f>
        <v>DTM04-8P</v>
      </c>
      <c r="D22" s="37"/>
      <c r="E22" s="37"/>
      <c r="F22" s="44"/>
      <c r="M22" s="19">
        <f>M24</f>
        <v>5.9</v>
      </c>
      <c r="N22" s="25" t="s">
        <v>229</v>
      </c>
      <c r="O22" s="5" t="s">
        <v>106</v>
      </c>
      <c r="P22" s="5" t="s">
        <v>350</v>
      </c>
      <c r="Q22" s="4" t="s">
        <v>352</v>
      </c>
      <c r="R22" s="5">
        <v>16</v>
      </c>
      <c r="S22" s="4" t="s">
        <v>54</v>
      </c>
      <c r="T22" s="5">
        <v>150</v>
      </c>
      <c r="U22" s="5"/>
      <c r="W22" s="56">
        <v>15</v>
      </c>
      <c r="X22" s="56" t="s">
        <v>650</v>
      </c>
      <c r="Y22" s="56" t="s">
        <v>150</v>
      </c>
      <c r="Z22" s="56"/>
      <c r="AA22" s="56" t="s">
        <v>167</v>
      </c>
      <c r="AB22" s="56" t="s">
        <v>651</v>
      </c>
      <c r="AC22" t="s">
        <v>183</v>
      </c>
    </row>
    <row r="23" spans="2:30" ht="15.75" customHeight="1" x14ac:dyDescent="0.2">
      <c r="B23" s="43" t="s">
        <v>1</v>
      </c>
      <c r="C23" s="45" t="s">
        <v>2</v>
      </c>
      <c r="D23" s="11"/>
      <c r="E23" s="11"/>
      <c r="F23" s="44"/>
      <c r="M23" s="19">
        <f>M27</f>
        <v>4.75</v>
      </c>
      <c r="N23" s="25" t="s">
        <v>230</v>
      </c>
      <c r="O23" s="5" t="s">
        <v>106</v>
      </c>
      <c r="P23" s="5" t="s">
        <v>351</v>
      </c>
      <c r="Q23" s="4" t="s">
        <v>353</v>
      </c>
      <c r="R23" s="5">
        <v>16</v>
      </c>
      <c r="S23" s="4" t="s">
        <v>54</v>
      </c>
      <c r="T23" s="5">
        <v>270</v>
      </c>
      <c r="U23" s="5"/>
      <c r="W23" s="56"/>
      <c r="X23" s="56"/>
      <c r="Y23" s="56"/>
      <c r="Z23" s="56"/>
      <c r="AA23" s="56"/>
    </row>
    <row r="24" spans="2:30" ht="15.75" customHeight="1" x14ac:dyDescent="0.2">
      <c r="B24" s="43" t="s">
        <v>3</v>
      </c>
      <c r="C24" s="30" t="str">
        <f>IF(_xlfn.XLOOKUP(C21,$N$145:$N$196,$T$145:$T$196,)=0,"", _xlfn.XLOOKUP(C21,$N$145:$N$196,$T$145:$T$196,))</f>
        <v/>
      </c>
      <c r="D24" s="46"/>
      <c r="E24" s="1"/>
      <c r="F24" s="44"/>
      <c r="M24" s="19">
        <f>M25+M26</f>
        <v>5.9</v>
      </c>
      <c r="N24" s="25" t="s">
        <v>231</v>
      </c>
      <c r="O24" s="5" t="s">
        <v>350</v>
      </c>
      <c r="P24" s="5" t="s">
        <v>127</v>
      </c>
      <c r="Q24" s="4" t="s">
        <v>355</v>
      </c>
      <c r="R24" s="5">
        <v>16</v>
      </c>
      <c r="S24" s="5" t="s">
        <v>54</v>
      </c>
      <c r="T24" s="5">
        <v>90</v>
      </c>
      <c r="U24" s="5"/>
      <c r="W24" s="56">
        <v>16</v>
      </c>
      <c r="X24" s="56" t="s">
        <v>190</v>
      </c>
      <c r="Y24" s="56" t="s">
        <v>151</v>
      </c>
      <c r="Z24" s="56"/>
      <c r="AA24" s="56" t="s">
        <v>168</v>
      </c>
      <c r="AC24" t="s">
        <v>184</v>
      </c>
    </row>
    <row r="25" spans="2:30" ht="15.75" customHeight="1" x14ac:dyDescent="0.2">
      <c r="B25" s="47"/>
      <c r="C25" s="1"/>
      <c r="D25" s="1"/>
      <c r="E25" s="1"/>
      <c r="F25" s="44"/>
      <c r="M25" s="19">
        <v>0.15</v>
      </c>
      <c r="N25" s="25" t="s">
        <v>232</v>
      </c>
      <c r="O25" s="5" t="s">
        <v>127</v>
      </c>
      <c r="P25" s="5" t="s">
        <v>356</v>
      </c>
      <c r="Q25" s="4" t="s">
        <v>358</v>
      </c>
      <c r="R25" s="5">
        <v>16</v>
      </c>
      <c r="S25" s="5" t="s">
        <v>54</v>
      </c>
      <c r="T25" s="5">
        <v>80</v>
      </c>
      <c r="U25" s="5"/>
      <c r="AA25" s="8"/>
    </row>
    <row r="26" spans="2:30" ht="15.75" customHeight="1" x14ac:dyDescent="0.2">
      <c r="B26" s="47"/>
      <c r="C26" s="1"/>
      <c r="D26" s="1"/>
      <c r="E26" s="1"/>
      <c r="F26" s="44"/>
      <c r="M26" s="19">
        <f>M29</f>
        <v>5.75</v>
      </c>
      <c r="N26" s="25" t="s">
        <v>233</v>
      </c>
      <c r="O26" s="5" t="s">
        <v>127</v>
      </c>
      <c r="P26" s="5" t="s">
        <v>357</v>
      </c>
      <c r="Q26" s="4" t="s">
        <v>359</v>
      </c>
      <c r="R26" s="4">
        <v>16</v>
      </c>
      <c r="S26" s="5" t="s">
        <v>54</v>
      </c>
      <c r="T26" s="5">
        <v>80</v>
      </c>
      <c r="U26" s="4"/>
      <c r="AA26" s="8"/>
    </row>
    <row r="27" spans="2:30" ht="15.75" customHeight="1" thickBot="1" x14ac:dyDescent="0.25">
      <c r="B27" s="84" t="s">
        <v>4</v>
      </c>
      <c r="C27" s="85" t="s">
        <v>85</v>
      </c>
      <c r="D27" s="85" t="s">
        <v>83</v>
      </c>
      <c r="E27" s="85" t="s">
        <v>84</v>
      </c>
      <c r="F27" s="86" t="s">
        <v>86</v>
      </c>
      <c r="G27" s="84" t="s">
        <v>11</v>
      </c>
      <c r="H27" s="85" t="s">
        <v>581</v>
      </c>
      <c r="I27" s="85" t="s">
        <v>90</v>
      </c>
      <c r="M27" s="19">
        <v>4.75</v>
      </c>
      <c r="N27" s="25" t="s">
        <v>234</v>
      </c>
      <c r="O27" s="5" t="s">
        <v>351</v>
      </c>
      <c r="P27" s="5" t="s">
        <v>98</v>
      </c>
      <c r="Q27" s="5" t="s">
        <v>360</v>
      </c>
      <c r="R27" s="5">
        <v>16</v>
      </c>
      <c r="S27" s="5" t="s">
        <v>54</v>
      </c>
      <c r="T27" s="5">
        <v>600</v>
      </c>
      <c r="U27" s="5"/>
    </row>
    <row r="28" spans="2:30" ht="12.75" x14ac:dyDescent="0.2">
      <c r="B28" s="77">
        <v>1</v>
      </c>
      <c r="C28" s="69" t="e">
        <f>IF(LEFT($C$22,3)="DTM",
    IF(OR(MID($C$22,4,2)="06",MID($C$22,4,2)="04"),
        IF($D28="Plug",#REF!,
            IF($D28="Key",#REF!,
                IF(AND($D28&lt;=#REF!,$D28&gt;=#REF!),
                    INDEX(#REF!,MATCH(MID($C$22,4,2),{"04","06"},0)),
                    IF(AND($D28&lt;=#REF!,$D28&gt;=#REF!),
                        INDEX(#REF!,MATCH(MID($C$22,4,2),{"04","06"},0)),
                        "NOT IN DTM RANGE")))),
        "MUST BE 06 OR 04"),
    IF(LEFT($C$22,2)="DT",
        IF(OR(MID($C$22,3,2)="06",MID($C$22,3,2)="04"),
            IF($D28="Plug",#REF!,
                IF($D28="Key",#REF!,
                    IF(AND($D28&lt;=#REF!,$D28&gt;=#REF!),
                        INDEX(#REF!,MATCH(MID($C$22,3,2),{"04","06"},0)),
                        IF(AND($D28&lt;=#REF!,$D28&gt;=#REF!),
                            INDEX(#REF!,MATCH(MID($C$22,3,2),{"04","06"},0)),
                            "NOT IN DT RANGE")))),
            "MUST BE 06 OR 04"),
        "OTHER THAN DTM OR DT"))</f>
        <v>#REF!</v>
      </c>
      <c r="D28" s="69">
        <f>_xlfn.XLOOKUP($G28,$N$5:$N$116,$R$5:$R$116)</f>
        <v>18</v>
      </c>
      <c r="E28" s="69" t="str">
        <f>_xlfn.XLOOKUP($G28,$N$5:$N$116,$S$5:$S$116)</f>
        <v>RED</v>
      </c>
      <c r="F28" s="78" t="str">
        <f t="shared" ref="F28:F35" si="5">_xlfn.TEXTJOIN(" / ", TRUE,_xlfn.XLOOKUP($G28,$N$5:$N$116,$O$5:$O$116), _xlfn.XLOOKUP($G28,$N$5:$N$116,$P$5:$P$116))</f>
        <v>J15 / P1-C2</v>
      </c>
      <c r="G28" s="36" t="s">
        <v>282</v>
      </c>
      <c r="H28" s="13">
        <f>_xlfn.XLOOKUP($G28,$N$5:$N$116,$M$5:$M$116)</f>
        <v>7.5</v>
      </c>
      <c r="I28" s="13" t="str">
        <f>_xlfn.XLOOKUP($G28,$N$5:$N$116,$Q$5:$Q$116)</f>
        <v xml:space="preserve">WB Nano 1 Power </v>
      </c>
      <c r="M28" s="119"/>
      <c r="N28" s="120"/>
      <c r="O28" s="121"/>
      <c r="P28" s="121"/>
      <c r="Q28" s="121"/>
      <c r="R28" s="121"/>
      <c r="S28" s="121"/>
      <c r="T28" s="121"/>
      <c r="U28" s="121"/>
    </row>
    <row r="29" spans="2:30" ht="12.75" x14ac:dyDescent="0.2">
      <c r="B29" s="14">
        <v>2</v>
      </c>
      <c r="C29" s="13" t="e">
        <f>IF(LEFT($C$22,3)="DTM",
    IF(OR(MID($C$22,4,2)="06",MID($C$22,4,2)="04"),
        IF($D29="Plug",#REF!,
            IF($D29="Key",#REF!,
                IF(AND($D29&lt;=#REF!,$D29&gt;=#REF!),
                    INDEX(#REF!,MATCH(MID($C$22,4,2),{"04","06"},0)),
                    IF(AND($D29&lt;=#REF!,$D29&gt;=#REF!),
                        INDEX(#REF!,MATCH(MID($C$22,4,2),{"04","06"},0)),
                        "NOT IN DTM RANGE")))),
        "MUST BE 06 OR 04"),
    IF(LEFT($C$22,2)="DT",
        IF(OR(MID($C$22,3,2)="06",MID($C$22,3,2)="04"),
            IF($D29="Plug",#REF!,
                IF($D29="Key",#REF!,
                    IF(AND($D29&lt;=#REF!,$D29&gt;=#REF!),
                        INDEX(#REF!,MATCH(MID($C$22,3,2),{"04","06"},0)),
                        IF(AND($D29&lt;=#REF!,$D29&gt;=#REF!),
                            INDEX(#REF!,MATCH(MID($C$22,3,2),{"04","06"},0)),
                            "NOT IN DT RANGE")))),
            "MUST BE 06 OR 04"),
        "OTHER THAN DTM OR DT"))</f>
        <v>#REF!</v>
      </c>
      <c r="D29" s="13">
        <f t="shared" ref="D29:D35" si="6">_xlfn.XLOOKUP($G29,$N$5:$N$116,$R$5:$R$116)</f>
        <v>18</v>
      </c>
      <c r="E29" s="13" t="str">
        <f t="shared" ref="E29:E35" si="7">_xlfn.XLOOKUP($G29,$N$5:$N$116,$S$5:$S$116)</f>
        <v>RED</v>
      </c>
      <c r="F29" s="48" t="str">
        <f t="shared" si="5"/>
        <v>J15 / P2-C2</v>
      </c>
      <c r="G29" s="36" t="s">
        <v>283</v>
      </c>
      <c r="H29" s="13">
        <f>_xlfn.XLOOKUP($G29,$N$5:$N$116,$M$5:$M$116)</f>
        <v>7.5</v>
      </c>
      <c r="I29" s="13" t="str">
        <f t="shared" ref="I29:I35" si="8">_xlfn.XLOOKUP($G29,$N$5:$N$116,$Q$5:$Q$116)</f>
        <v xml:space="preserve">WB Nano 2 Power </v>
      </c>
      <c r="M29" s="19">
        <v>5.75</v>
      </c>
      <c r="N29" s="25" t="s">
        <v>235</v>
      </c>
      <c r="O29" s="5" t="s">
        <v>361</v>
      </c>
      <c r="P29" s="5" t="s">
        <v>103</v>
      </c>
      <c r="Q29" s="5" t="s">
        <v>362</v>
      </c>
      <c r="R29" s="5">
        <v>14</v>
      </c>
      <c r="S29" s="5" t="s">
        <v>54</v>
      </c>
      <c r="T29" s="5">
        <v>500</v>
      </c>
      <c r="U29" s="5"/>
    </row>
    <row r="30" spans="2:30" ht="13.5" thickBot="1" x14ac:dyDescent="0.25">
      <c r="B30" s="14">
        <v>3</v>
      </c>
      <c r="C30" s="13" t="e">
        <f>IF(LEFT($C$22,3)="DTM",
    IF(OR(MID($C$22,4,2)="06",MID($C$22,4,2)="04"),
        IF($D30="Plug",#REF!,
            IF($D30="Key",#REF!,
                IF(AND($D30&lt;=#REF!,$D30&gt;=#REF!),
                    INDEX(#REF!,MATCH(MID($C$22,4,2),{"04","06"},0)),
                    IF(AND($D30&lt;=#REF!,$D30&gt;=#REF!),
                        INDEX(#REF!,MATCH(MID($C$22,4,2),{"04","06"},0)),
                        "NOT IN DTM RANGE")))),
        "MUST BE 06 OR 04"),
    IF(LEFT($C$22,2)="DT",
        IF(OR(MID($C$22,3,2)="06",MID($C$22,3,2)="04"),
            IF($D30="Plug",#REF!,
                IF($D30="Key",#REF!,
                    IF(AND($D30&lt;=#REF!,$D30&gt;=#REF!),
                        INDEX(#REF!,MATCH(MID($C$22,3,2),{"04","06"},0)),
                        IF(AND($D30&lt;=#REF!,$D30&gt;=#REF!),
                            INDEX(#REF!,MATCH(MID($C$22,3,2),{"04","06"},0)),
                            "NOT IN DT RANGE")))),
            "MUST BE 06 OR 04"),
        "OTHER THAN DTM OR DT"))</f>
        <v>#REF!</v>
      </c>
      <c r="D30" s="13">
        <f t="shared" si="6"/>
        <v>18</v>
      </c>
      <c r="E30" s="13" t="str">
        <f t="shared" si="7"/>
        <v>RED</v>
      </c>
      <c r="F30" s="48" t="str">
        <f t="shared" si="5"/>
        <v>F10 / P3-C2</v>
      </c>
      <c r="G30" s="36" t="s">
        <v>284</v>
      </c>
      <c r="H30" s="13">
        <f t="shared" ref="H30:H35" si="9">_xlfn.XLOOKUP($G30,$N$5:$N$116,$M$5:$M$116)</f>
        <v>7.5</v>
      </c>
      <c r="I30" s="13" t="str">
        <f t="shared" si="8"/>
        <v>FT550 PWR</v>
      </c>
      <c r="M30" s="119"/>
      <c r="N30" s="120"/>
      <c r="O30" s="121"/>
      <c r="P30" s="121"/>
      <c r="Q30" s="121"/>
      <c r="R30" s="121"/>
      <c r="S30" s="121"/>
      <c r="T30" s="121"/>
      <c r="U30" s="121"/>
      <c r="V30" s="5"/>
      <c r="W30" s="126" t="s">
        <v>185</v>
      </c>
      <c r="X30" s="126"/>
      <c r="Y30" s="126"/>
      <c r="Z30" s="126"/>
      <c r="AA30" s="126"/>
      <c r="AB30" s="126"/>
      <c r="AC30" s="126"/>
      <c r="AD30" s="126"/>
    </row>
    <row r="31" spans="2:30" ht="15.75" customHeight="1" thickBot="1" x14ac:dyDescent="0.25">
      <c r="B31" s="14">
        <v>4</v>
      </c>
      <c r="C31" s="13" t="e">
        <f>IF(LEFT($C$22,3)="DTM",
    IF(OR(MID($C$22,4,2)="06",MID($C$22,4,2)="04"),
        IF($D31="Plug",#REF!,
            IF($D31="Key",#REF!,
                IF(AND($D31&lt;=#REF!,$D31&gt;=#REF!),
                    INDEX(#REF!,MATCH(MID($C$22,4,2),{"04","06"},0)),
                    IF(AND($D31&lt;=#REF!,$D31&gt;=#REF!),
                        INDEX(#REF!,MATCH(MID($C$22,4,2),{"04","06"},0)),
                        "NOT IN DTM RANGE")))),
        "MUST BE 06 OR 04"),
    IF(LEFT($C$22,2)="DT",
        IF(OR(MID($C$22,3,2)="06",MID($C$22,3,2)="04"),
            IF($D31="Plug",#REF!,
                IF($D31="Key",#REF!,
                    IF(AND($D31&lt;=#REF!,$D31&gt;=#REF!),
                        INDEX(#REF!,MATCH(MID($C$22,3,2),{"04","06"},0)),
                        IF(AND($D31&lt;=#REF!,$D31&gt;=#REF!),
                            INDEX(#REF!,MATCH(MID($C$22,3,2),{"04","06"},0)),
                            "NOT IN DT RANGE")))),
            "MUST BE 06 OR 04"),
        "OTHER THAN DTM OR DT"))</f>
        <v>#REF!</v>
      </c>
      <c r="D31" s="13">
        <f t="shared" si="6"/>
        <v>18</v>
      </c>
      <c r="E31" s="13" t="str">
        <f t="shared" si="7"/>
        <v>RED</v>
      </c>
      <c r="F31" s="48" t="str">
        <f t="shared" si="5"/>
        <v>F12 / P4-C2</v>
      </c>
      <c r="G31" s="36" t="s">
        <v>286</v>
      </c>
      <c r="H31" s="13">
        <f t="shared" si="9"/>
        <v>0.5</v>
      </c>
      <c r="I31" s="13" t="str">
        <f t="shared" si="8"/>
        <v>+12V Semsor PWR</v>
      </c>
      <c r="M31" s="19">
        <f>M25</f>
        <v>0.15</v>
      </c>
      <c r="N31" s="25" t="s">
        <v>236</v>
      </c>
      <c r="O31" s="5" t="s">
        <v>363</v>
      </c>
      <c r="P31" s="5" t="s">
        <v>119</v>
      </c>
      <c r="Q31" s="5" t="s">
        <v>364</v>
      </c>
      <c r="R31" s="5">
        <v>20</v>
      </c>
      <c r="S31" s="5" t="s">
        <v>63</v>
      </c>
      <c r="T31" s="5">
        <v>600</v>
      </c>
      <c r="U31" s="5"/>
      <c r="W31" s="24" t="s">
        <v>187</v>
      </c>
      <c r="X31" s="24" t="s">
        <v>188</v>
      </c>
      <c r="Y31" s="24" t="s">
        <v>143</v>
      </c>
      <c r="Z31" s="24" t="s">
        <v>94</v>
      </c>
      <c r="AA31" s="7" t="s">
        <v>152</v>
      </c>
      <c r="AB31" s="7" t="s">
        <v>22</v>
      </c>
      <c r="AC31" s="7" t="s">
        <v>35</v>
      </c>
      <c r="AD31" s="7" t="s">
        <v>38</v>
      </c>
    </row>
    <row r="32" spans="2:30" ht="15.75" customHeight="1" x14ac:dyDescent="0.2">
      <c r="B32" s="14">
        <v>5</v>
      </c>
      <c r="C32" s="13" t="e">
        <f>IF(LEFT($C$22,3)="DTM",
    IF(OR(MID($C$22,4,2)="06",MID($C$22,4,2)="04"),
        IF($D32="Plug",#REF!,
            IF($D32="Key",#REF!,
                IF(AND($D32&lt;=#REF!,$D32&gt;=#REF!),
                    INDEX(#REF!,MATCH(MID($C$22,4,2),{"04","06"},0)),
                    IF(AND($D32&lt;=#REF!,$D32&gt;=#REF!),
                        INDEX(#REF!,MATCH(MID($C$22,4,2),{"04","06"},0)),
                        "NOT IN DTM RANGE")))),
        "MUST BE 06 OR 04"),
    IF(LEFT($C$22,2)="DT",
        IF(OR(MID($C$22,3,2)="06",MID($C$22,3,2)="04"),
            IF($D32="Plug",#REF!,
                IF($D32="Key",#REF!,
                    IF(AND($D32&lt;=#REF!,$D32&gt;=#REF!),
                        INDEX(#REF!,MATCH(MID($C$22,3,2),{"04","06"},0)),
                        IF(AND($D32&lt;=#REF!,$D32&gt;=#REF!),
                            INDEX(#REF!,MATCH(MID($C$22,3,2),{"04","06"},0)),
                            "NOT IN DT RANGE")))),
            "MUST BE 06 OR 04"),
        "OTHER THAN DTM OR DT"))</f>
        <v>#REF!</v>
      </c>
      <c r="D32" s="13">
        <f t="shared" si="6"/>
        <v>20</v>
      </c>
      <c r="E32" s="13" t="str">
        <f t="shared" si="7"/>
        <v>BLUE</v>
      </c>
      <c r="F32" s="48" t="str">
        <f t="shared" si="5"/>
        <v>RLY7-P85 / P5-C2</v>
      </c>
      <c r="G32" s="36" t="s">
        <v>236</v>
      </c>
      <c r="H32" s="13">
        <f t="shared" si="9"/>
        <v>0.15</v>
      </c>
      <c r="I32" s="13" t="str">
        <f t="shared" si="8"/>
        <v>Fuel Pump ECU Trigger</v>
      </c>
      <c r="M32" s="19">
        <f>M33+M34</f>
        <v>10.15</v>
      </c>
      <c r="N32" s="25" t="s">
        <v>237</v>
      </c>
      <c r="O32" s="5" t="s">
        <v>369</v>
      </c>
      <c r="P32" s="5" t="s">
        <v>128</v>
      </c>
      <c r="Q32" s="5" t="s">
        <v>367</v>
      </c>
      <c r="R32" s="5">
        <v>12</v>
      </c>
      <c r="S32" s="5" t="s">
        <v>54</v>
      </c>
      <c r="T32" s="5">
        <v>100</v>
      </c>
      <c r="U32" s="5"/>
      <c r="W32" s="56">
        <v>1</v>
      </c>
      <c r="X32" s="56" t="s">
        <v>649</v>
      </c>
      <c r="Y32" s="5" t="s">
        <v>186</v>
      </c>
      <c r="Z32" s="5">
        <v>20</v>
      </c>
      <c r="AA32" s="8" t="s">
        <v>191</v>
      </c>
      <c r="AC32" s="8" t="s">
        <v>203</v>
      </c>
    </row>
    <row r="33" spans="2:30" ht="15.75" customHeight="1" x14ac:dyDescent="0.2">
      <c r="B33" s="14">
        <v>6</v>
      </c>
      <c r="C33" s="13" t="e">
        <f>IF(LEFT($C$22,3)="DTM",
    IF(OR(MID($C$22,4,2)="06",MID($C$22,4,2)="04"),
        IF($D33="Plug",#REF!,
            IF($D33="Key",#REF!,
                IF(AND($D33&lt;=#REF!,$D33&gt;=#REF!),
                    INDEX(#REF!,MATCH(MID($C$22,4,2),{"04","06"},0)),
                    IF(AND($D33&lt;=#REF!,$D33&gt;=#REF!),
                        INDEX(#REF!,MATCH(MID($C$22,4,2),{"04","06"},0)),
                        "NOT IN DTM RANGE")))),
        "MUST BE 06 OR 04"),
    IF(LEFT($C$22,2)="DT",
        IF(OR(MID($C$22,3,2)="06",MID($C$22,3,2)="04"),
            IF($D33="Plug",#REF!,
                IF($D33="Key",#REF!,
                    IF(AND($D33&lt;=#REF!,$D33&gt;=#REF!),
                        INDEX(#REF!,MATCH(MID($C$22,3,2),{"04","06"},0)),
                        IF(AND($D33&lt;=#REF!,$D33&gt;=#REF!),
                            INDEX(#REF!,MATCH(MID($C$22,3,2),{"04","06"},0)),
                            "NOT IN DT RANGE")))),
            "MUST BE 06 OR 04"),
        "OTHER THAN DTM OR DT"))</f>
        <v>#REF!</v>
      </c>
      <c r="D33" s="13">
        <f t="shared" si="6"/>
        <v>20</v>
      </c>
      <c r="E33" s="13" t="str">
        <f t="shared" si="7"/>
        <v>BLUE</v>
      </c>
      <c r="F33" s="48" t="str">
        <f t="shared" si="5"/>
        <v>RLY8-P85 / P6-C2</v>
      </c>
      <c r="G33" s="36" t="s">
        <v>240</v>
      </c>
      <c r="H33" s="13">
        <f t="shared" si="9"/>
        <v>0.15</v>
      </c>
      <c r="I33" s="13" t="str">
        <f t="shared" si="8"/>
        <v>Fan Trigger Relay - ECU Signal Trigger (85)</v>
      </c>
      <c r="M33" s="19">
        <v>0.15</v>
      </c>
      <c r="N33" s="25" t="s">
        <v>238</v>
      </c>
      <c r="O33" s="5" t="s">
        <v>128</v>
      </c>
      <c r="P33" s="5" t="s">
        <v>372</v>
      </c>
      <c r="Q33" s="5" t="s">
        <v>370</v>
      </c>
      <c r="R33" s="5">
        <v>20</v>
      </c>
      <c r="S33" s="5" t="s">
        <v>54</v>
      </c>
      <c r="T33" s="5">
        <v>115</v>
      </c>
      <c r="U33" s="5"/>
      <c r="W33" s="56">
        <v>2</v>
      </c>
      <c r="X33" s="56" t="s">
        <v>649</v>
      </c>
      <c r="Y33" s="5" t="s">
        <v>186</v>
      </c>
      <c r="Z33" s="5">
        <v>15</v>
      </c>
      <c r="AA33" s="8" t="s">
        <v>154</v>
      </c>
      <c r="AC33" s="8" t="s">
        <v>204</v>
      </c>
    </row>
    <row r="34" spans="2:30" ht="15.75" customHeight="1" x14ac:dyDescent="0.2">
      <c r="B34" s="14">
        <v>7</v>
      </c>
      <c r="C34" s="13" t="e">
        <f>IF(LEFT($C$22,3)="DTM",
    IF(OR(MID($C$22,4,2)="06",MID($C$22,4,2)="04"),
        IF($D34="Plug",#REF!,
            IF($D34="Key",#REF!,
                IF(AND($D34&lt;=#REF!,$D34&gt;=#REF!),
                    INDEX(#REF!,MATCH(MID($C$22,4,2),{"04","06"},0)),
                    IF(AND($D34&lt;=#REF!,$D34&gt;=#REF!),
                        INDEX(#REF!,MATCH(MID($C$22,4,2),{"04","06"},0)),
                        "NOT IN DTM RANGE")))),
        "MUST BE 06 OR 04"),
    IF(LEFT($C$22,2)="DT",
        IF(OR(MID($C$22,3,2)="06",MID($C$22,3,2)="04"),
            IF($D34="Plug",#REF!,
                IF($D34="Key",#REF!,
                    IF(AND($D34&lt;=#REF!,$D34&gt;=#REF!),
                        INDEX(#REF!,MATCH(MID($C$22,3,2),{"04","06"},0)),
                        IF(AND($D34&lt;=#REF!,$D34&gt;=#REF!),
                            INDEX(#REF!,MATCH(MID($C$22,3,2),{"04","06"},0)),
                            "NOT IN DT RANGE")))),
            "MUST BE 06 OR 04"),
        "OTHER THAN DTM OR DT"))</f>
        <v>#REF!</v>
      </c>
      <c r="D34" s="13">
        <f t="shared" si="6"/>
        <v>20</v>
      </c>
      <c r="E34" s="13" t="str">
        <f t="shared" si="7"/>
        <v>BLUE</v>
      </c>
      <c r="F34" s="48" t="str">
        <f t="shared" si="5"/>
        <v>RLY10-P85 / P7-C2</v>
      </c>
      <c r="G34" s="36" t="s">
        <v>249</v>
      </c>
      <c r="H34" s="13">
        <f t="shared" si="9"/>
        <v>0.15</v>
      </c>
      <c r="I34" s="13" t="str">
        <f t="shared" si="8"/>
        <v>ECU Trigger Output: RPM Activated Output</v>
      </c>
      <c r="M34" s="19">
        <f>M36</f>
        <v>10</v>
      </c>
      <c r="N34" s="25" t="s">
        <v>239</v>
      </c>
      <c r="O34" s="5" t="s">
        <v>128</v>
      </c>
      <c r="P34" s="5" t="s">
        <v>373</v>
      </c>
      <c r="Q34" s="5" t="s">
        <v>371</v>
      </c>
      <c r="R34" s="5">
        <v>12</v>
      </c>
      <c r="S34" s="5" t="s">
        <v>54</v>
      </c>
      <c r="T34" s="5">
        <v>100</v>
      </c>
      <c r="U34" s="5"/>
      <c r="W34" s="56">
        <v>3</v>
      </c>
      <c r="X34" s="56" t="s">
        <v>649</v>
      </c>
      <c r="Y34" s="5" t="s">
        <v>186</v>
      </c>
      <c r="Z34" s="5">
        <v>15</v>
      </c>
      <c r="AA34" s="8" t="s">
        <v>160</v>
      </c>
      <c r="AC34" s="8" t="s">
        <v>205</v>
      </c>
    </row>
    <row r="35" spans="2:30" ht="15.75" customHeight="1" thickBot="1" x14ac:dyDescent="0.25">
      <c r="B35" s="49">
        <v>8</v>
      </c>
      <c r="C35" s="16" t="e">
        <f>IF(LEFT($C$22,3)="DTM",
    IF(OR(MID($C$22,4,2)="06",MID($C$22,4,2)="04"),
        IF($D35="Plug",#REF!,
            IF($D35="Key",#REF!,
                IF(AND($D35&lt;=#REF!,$D35&gt;=#REF!),
                    INDEX(#REF!,MATCH(MID($C$22,4,2),{"04","06"},0)),
                    IF(AND($D35&lt;=#REF!,$D35&gt;=#REF!),
                        INDEX(#REF!,MATCH(MID($C$22,4,2),{"04","06"},0)),
                        "NOT IN DTM RANGE")))),
        "MUST BE 06 OR 04"),
    IF(LEFT($C$22,2)="DT",
        IF(OR(MID($C$22,3,2)="06",MID($C$22,3,2)="04"),
            IF($D35="Plug",#REF!,
                IF($D35="Key",#REF!,
                    IF(AND($D35&lt;=#REF!,$D35&gt;=#REF!),
                        INDEX(#REF!,MATCH(MID($C$22,3,2),{"04","06"},0)),
                        IF(AND($D35&lt;=#REF!,$D35&gt;=#REF!),
                            INDEX(#REF!,MATCH(MID($C$22,3,2),{"04","06"},0)),
                            "NOT IN DT RANGE")))),
            "MUST BE 06 OR 04"),
        "OTHER THAN DTM OR DT"))</f>
        <v>#REF!</v>
      </c>
      <c r="D35" s="16">
        <f t="shared" si="6"/>
        <v>20</v>
      </c>
      <c r="E35" s="16" t="str">
        <f t="shared" si="7"/>
        <v>BLUE</v>
      </c>
      <c r="F35" s="50" t="str">
        <f t="shared" si="5"/>
        <v>RLY11-P85 / P8-C2</v>
      </c>
      <c r="G35" s="36" t="s">
        <v>254</v>
      </c>
      <c r="H35" s="13">
        <f t="shared" si="9"/>
        <v>0.15</v>
      </c>
      <c r="I35" s="13" t="str">
        <f t="shared" si="8"/>
        <v>ECU Trigger Starter trig output</v>
      </c>
      <c r="M35" s="19">
        <f>M33</f>
        <v>0.15</v>
      </c>
      <c r="N35" s="25" t="s">
        <v>240</v>
      </c>
      <c r="O35" s="5" t="s">
        <v>375</v>
      </c>
      <c r="P35" s="4" t="s">
        <v>374</v>
      </c>
      <c r="Q35" s="6" t="s">
        <v>376</v>
      </c>
      <c r="R35" s="5">
        <v>20</v>
      </c>
      <c r="S35" s="5" t="s">
        <v>63</v>
      </c>
      <c r="T35" s="5">
        <v>600</v>
      </c>
      <c r="U35" s="5"/>
      <c r="V35" s="5"/>
      <c r="W35" s="56">
        <v>4</v>
      </c>
      <c r="X35" s="56" t="s">
        <v>649</v>
      </c>
      <c r="Y35" s="5" t="s">
        <v>186</v>
      </c>
      <c r="Z35" s="5">
        <v>10</v>
      </c>
      <c r="AA35" s="8" t="s">
        <v>192</v>
      </c>
      <c r="AB35" s="5"/>
      <c r="AC35" s="8" t="s">
        <v>206</v>
      </c>
    </row>
    <row r="36" spans="2:30" ht="15.75" customHeight="1" x14ac:dyDescent="0.2">
      <c r="M36" s="19">
        <f>M37+M38</f>
        <v>10</v>
      </c>
      <c r="N36" s="25" t="s">
        <v>241</v>
      </c>
      <c r="O36" s="4" t="s">
        <v>378</v>
      </c>
      <c r="P36" s="4" t="s">
        <v>129</v>
      </c>
      <c r="Q36" s="6" t="s">
        <v>377</v>
      </c>
      <c r="R36" s="5">
        <v>12</v>
      </c>
      <c r="S36" s="4" t="s">
        <v>54</v>
      </c>
      <c r="T36" s="5">
        <v>120</v>
      </c>
      <c r="U36" s="5"/>
      <c r="V36" s="5"/>
      <c r="W36" s="54">
        <v>5</v>
      </c>
      <c r="X36" s="56" t="s">
        <v>649</v>
      </c>
      <c r="Y36" s="5" t="s">
        <v>186</v>
      </c>
      <c r="Z36" s="5">
        <v>15</v>
      </c>
      <c r="AA36" s="8" t="s">
        <v>193</v>
      </c>
      <c r="AB36" s="5"/>
      <c r="AC36" s="8" t="s">
        <v>207</v>
      </c>
    </row>
    <row r="37" spans="2:30" ht="15.75" customHeight="1" thickBot="1" x14ac:dyDescent="0.25">
      <c r="L37" s="35"/>
      <c r="M37" s="19">
        <v>5</v>
      </c>
      <c r="N37" s="25" t="s">
        <v>242</v>
      </c>
      <c r="O37" s="4" t="s">
        <v>129</v>
      </c>
      <c r="P37" s="4" t="s">
        <v>100</v>
      </c>
      <c r="Q37" s="6" t="s">
        <v>380</v>
      </c>
      <c r="R37" s="5">
        <v>16</v>
      </c>
      <c r="S37" s="4" t="s">
        <v>54</v>
      </c>
      <c r="T37" s="5">
        <v>600</v>
      </c>
      <c r="U37" s="5"/>
      <c r="V37" s="5"/>
      <c r="W37" s="54">
        <v>6</v>
      </c>
      <c r="X37" s="56" t="s">
        <v>649</v>
      </c>
      <c r="Y37" s="5" t="s">
        <v>186</v>
      </c>
      <c r="Z37" s="5">
        <v>10</v>
      </c>
      <c r="AA37" s="8" t="s">
        <v>194</v>
      </c>
      <c r="AB37" s="5"/>
      <c r="AC37" s="8" t="s">
        <v>208</v>
      </c>
    </row>
    <row r="38" spans="2:30" ht="23.25" x14ac:dyDescent="0.35">
      <c r="B38" s="38" t="str">
        <f>_xlfn.XLOOKUP(C38,$N$145:$N$196,$M$145:$M$196)</f>
        <v>MH-PS-2</v>
      </c>
      <c r="C38" s="39" t="s">
        <v>390</v>
      </c>
      <c r="D38" s="40"/>
      <c r="E38" s="41"/>
      <c r="F38" s="42" t="str">
        <f>_xlfn.XLOOKUP(C38,$N$145:$N$196,$O$145:$O$196)</f>
        <v>PS TO Main Harness - Connector 2</v>
      </c>
      <c r="L38" s="35"/>
      <c r="M38" s="19">
        <v>5</v>
      </c>
      <c r="N38" s="25" t="s">
        <v>243</v>
      </c>
      <c r="O38" s="4" t="s">
        <v>129</v>
      </c>
      <c r="P38" s="4" t="s">
        <v>102</v>
      </c>
      <c r="Q38" s="6" t="s">
        <v>381</v>
      </c>
      <c r="R38" s="5">
        <v>16</v>
      </c>
      <c r="S38" s="5" t="s">
        <v>54</v>
      </c>
      <c r="T38" s="5">
        <v>600</v>
      </c>
      <c r="U38" s="5"/>
      <c r="V38" s="5"/>
      <c r="W38" s="54">
        <f>W37+1</f>
        <v>7</v>
      </c>
      <c r="X38" s="56" t="s">
        <v>649</v>
      </c>
      <c r="Y38" s="5" t="s">
        <v>186</v>
      </c>
      <c r="Z38" s="5">
        <v>10</v>
      </c>
      <c r="AA38" s="8" t="s">
        <v>195</v>
      </c>
      <c r="AB38" s="5"/>
      <c r="AC38" s="8" t="s">
        <v>209</v>
      </c>
    </row>
    <row r="39" spans="2:30" ht="12.75" x14ac:dyDescent="0.2">
      <c r="B39" s="43" t="s">
        <v>0</v>
      </c>
      <c r="C39" s="11" t="str">
        <f>_xlfn.XLOOKUP(C38,$N$145:$N$196,$R$145:$R$196)</f>
        <v>DT04-12P</v>
      </c>
      <c r="D39" s="37"/>
      <c r="E39" s="37"/>
      <c r="F39" s="44"/>
      <c r="L39" s="35"/>
      <c r="M39" s="19">
        <f>M40+M41+M42</f>
        <v>14.3</v>
      </c>
      <c r="N39" s="25" t="s">
        <v>244</v>
      </c>
      <c r="O39" s="4" t="s">
        <v>383</v>
      </c>
      <c r="P39" s="4" t="s">
        <v>130</v>
      </c>
      <c r="Q39" s="6" t="s">
        <v>382</v>
      </c>
      <c r="R39" s="5">
        <v>12</v>
      </c>
      <c r="S39" s="5" t="s">
        <v>54</v>
      </c>
      <c r="T39" s="5">
        <v>35</v>
      </c>
      <c r="U39" s="5"/>
      <c r="V39" s="5"/>
      <c r="W39" s="54">
        <f t="shared" ref="W39:W45" si="10">W38+1</f>
        <v>8</v>
      </c>
      <c r="X39" s="56" t="s">
        <v>649</v>
      </c>
      <c r="Y39" s="5" t="s">
        <v>186</v>
      </c>
      <c r="Z39" s="5">
        <v>10</v>
      </c>
      <c r="AA39" s="8" t="s">
        <v>159</v>
      </c>
      <c r="AB39" s="5"/>
      <c r="AC39" s="8"/>
    </row>
    <row r="40" spans="2:30" ht="12.75" x14ac:dyDescent="0.2">
      <c r="B40" s="43" t="s">
        <v>1</v>
      </c>
      <c r="C40" s="45" t="s">
        <v>2</v>
      </c>
      <c r="D40" s="11"/>
      <c r="E40" s="11"/>
      <c r="F40" s="44"/>
      <c r="M40" s="19">
        <f>M43</f>
        <v>4.9000000000000004</v>
      </c>
      <c r="N40" s="25" t="s">
        <v>245</v>
      </c>
      <c r="O40" s="4" t="s">
        <v>130</v>
      </c>
      <c r="P40" s="4" t="s">
        <v>384</v>
      </c>
      <c r="Q40" s="6" t="s">
        <v>387</v>
      </c>
      <c r="R40" s="5">
        <v>16</v>
      </c>
      <c r="S40" s="5" t="s">
        <v>54</v>
      </c>
      <c r="T40" s="5">
        <v>150</v>
      </c>
      <c r="U40" s="5"/>
      <c r="V40" s="5"/>
      <c r="W40" s="56">
        <f t="shared" si="10"/>
        <v>9</v>
      </c>
      <c r="X40" s="56" t="s">
        <v>649</v>
      </c>
      <c r="Y40" s="5" t="s">
        <v>186</v>
      </c>
      <c r="Z40" s="5">
        <v>7.5</v>
      </c>
      <c r="AA40" s="8" t="s">
        <v>196</v>
      </c>
      <c r="AB40" s="5"/>
      <c r="AC40" s="8"/>
    </row>
    <row r="41" spans="2:30" ht="12.75" x14ac:dyDescent="0.2">
      <c r="B41" s="43" t="s">
        <v>3</v>
      </c>
      <c r="C41" s="30" t="str">
        <f>IF(_xlfn.XLOOKUP(C38,$N$145:$N$196,$T$145:$T$196,)=0,"", _xlfn.XLOOKUP(C38,$N$145:$N$196,$T$145:$T$196,))</f>
        <v/>
      </c>
      <c r="D41" s="46"/>
      <c r="E41" s="1"/>
      <c r="F41" s="44"/>
      <c r="M41" s="19">
        <v>0.15</v>
      </c>
      <c r="N41" s="25" t="s">
        <v>246</v>
      </c>
      <c r="O41" s="4" t="s">
        <v>130</v>
      </c>
      <c r="P41" s="4" t="s">
        <v>385</v>
      </c>
      <c r="Q41" s="6" t="s">
        <v>388</v>
      </c>
      <c r="R41" s="5">
        <v>20</v>
      </c>
      <c r="S41" s="4" t="s">
        <v>54</v>
      </c>
      <c r="T41" s="5">
        <v>150</v>
      </c>
      <c r="U41" s="5"/>
      <c r="V41" s="5"/>
      <c r="W41" s="56">
        <f t="shared" si="10"/>
        <v>10</v>
      </c>
      <c r="X41" s="56" t="s">
        <v>649</v>
      </c>
      <c r="Y41" s="5" t="s">
        <v>186</v>
      </c>
      <c r="Z41" s="5">
        <v>10</v>
      </c>
      <c r="AA41" s="8" t="s">
        <v>197</v>
      </c>
      <c r="AB41" s="5"/>
      <c r="AC41" s="8"/>
    </row>
    <row r="42" spans="2:30" ht="12.75" x14ac:dyDescent="0.2">
      <c r="B42" s="47"/>
      <c r="C42" s="1"/>
      <c r="D42" s="1"/>
      <c r="E42" s="1"/>
      <c r="F42" s="44"/>
      <c r="L42" s="35"/>
      <c r="M42" s="19">
        <f>M51+M52</f>
        <v>9.25</v>
      </c>
      <c r="N42" s="25" t="s">
        <v>247</v>
      </c>
      <c r="O42" s="4" t="s">
        <v>130</v>
      </c>
      <c r="P42" s="4" t="s">
        <v>386</v>
      </c>
      <c r="Q42" s="6" t="s">
        <v>389</v>
      </c>
      <c r="R42" s="5">
        <v>16</v>
      </c>
      <c r="S42" s="5" t="s">
        <v>54</v>
      </c>
      <c r="T42" s="5">
        <v>150</v>
      </c>
      <c r="U42" s="5"/>
      <c r="V42" s="5"/>
      <c r="W42" s="56">
        <f t="shared" si="10"/>
        <v>11</v>
      </c>
      <c r="X42" s="56" t="s">
        <v>649</v>
      </c>
      <c r="Y42" s="5" t="s">
        <v>186</v>
      </c>
      <c r="Z42" s="5">
        <v>5</v>
      </c>
      <c r="AA42" s="8" t="s">
        <v>198</v>
      </c>
      <c r="AB42" s="5"/>
      <c r="AC42" s="8" t="s">
        <v>210</v>
      </c>
    </row>
    <row r="43" spans="2:30" ht="12.75" x14ac:dyDescent="0.2">
      <c r="B43" s="47"/>
      <c r="C43" s="1"/>
      <c r="D43" s="1"/>
      <c r="E43" s="1"/>
      <c r="F43" s="44"/>
      <c r="L43" s="35"/>
      <c r="M43" s="19">
        <v>4.9000000000000004</v>
      </c>
      <c r="N43" s="25" t="s">
        <v>248</v>
      </c>
      <c r="O43" s="4" t="s">
        <v>395</v>
      </c>
      <c r="P43" s="4" t="s">
        <v>394</v>
      </c>
      <c r="Q43" s="6" t="s">
        <v>393</v>
      </c>
      <c r="R43" s="5">
        <v>16</v>
      </c>
      <c r="S43" s="5" t="s">
        <v>590</v>
      </c>
      <c r="T43" s="5">
        <v>600</v>
      </c>
      <c r="U43" s="5"/>
      <c r="V43" s="5"/>
      <c r="W43" s="56">
        <f t="shared" si="10"/>
        <v>12</v>
      </c>
      <c r="X43" s="56" t="s">
        <v>649</v>
      </c>
      <c r="Y43" s="5" t="s">
        <v>186</v>
      </c>
      <c r="Z43" s="5">
        <v>5</v>
      </c>
      <c r="AA43" s="8" t="s">
        <v>199</v>
      </c>
      <c r="AB43" s="5"/>
      <c r="AC43" s="8"/>
    </row>
    <row r="44" spans="2:30" ht="13.5" thickBot="1" x14ac:dyDescent="0.25">
      <c r="B44" s="84" t="s">
        <v>4</v>
      </c>
      <c r="C44" s="85" t="s">
        <v>85</v>
      </c>
      <c r="D44" s="85" t="s">
        <v>83</v>
      </c>
      <c r="E44" s="85" t="s">
        <v>84</v>
      </c>
      <c r="F44" s="86" t="s">
        <v>86</v>
      </c>
      <c r="G44" s="84" t="s">
        <v>11</v>
      </c>
      <c r="H44" s="85" t="s">
        <v>581</v>
      </c>
      <c r="I44" s="85" t="s">
        <v>90</v>
      </c>
      <c r="M44" s="19">
        <f>M41</f>
        <v>0.15</v>
      </c>
      <c r="N44" s="25" t="s">
        <v>249</v>
      </c>
      <c r="O44" s="4" t="s">
        <v>572</v>
      </c>
      <c r="P44" s="4" t="s">
        <v>397</v>
      </c>
      <c r="Q44" s="6" t="s">
        <v>396</v>
      </c>
      <c r="R44" s="5">
        <v>20</v>
      </c>
      <c r="S44" s="5" t="s">
        <v>63</v>
      </c>
      <c r="T44" s="5">
        <v>600</v>
      </c>
      <c r="U44" s="5"/>
      <c r="V44" s="5"/>
      <c r="W44" s="56">
        <f t="shared" si="10"/>
        <v>13</v>
      </c>
      <c r="X44" s="56" t="s">
        <v>649</v>
      </c>
      <c r="Y44" s="5" t="s">
        <v>186</v>
      </c>
      <c r="Z44" s="5">
        <v>5</v>
      </c>
      <c r="AA44" s="8" t="s">
        <v>200</v>
      </c>
      <c r="AB44" s="5"/>
      <c r="AC44" s="8" t="s">
        <v>211</v>
      </c>
    </row>
    <row r="45" spans="2:30" ht="12.75" x14ac:dyDescent="0.2">
      <c r="B45" s="14">
        <v>1</v>
      </c>
      <c r="C45" s="13" t="e">
        <f>IF(LEFT($C$39,3)="DTM",
    IF(OR(MID($C$39,4,2)="06",MID($C$39,4,2)="04"),
        IF($D45="Plug",#REF!,
            IF($D45="Key",#REF!,
                IF(AND($D45&lt;=#REF!,$D45&gt;=#REF!),
                    INDEX(#REF!,MATCH(MID($C$39,4,2),{"04","06"},0)),
                    IF(AND($D45&lt;=#REF!,$D45&gt;=#REF!),
                        INDEX(#REF!,MATCH(MID($C$39,4,2),{"04","06"},0)),
                        "NOT IN DTM RANGE")))),
        "MUST BE 06 OR 04"),
    IF(LEFT($C$39,2)="DT",
        IF(OR(MID($C$39,3,2)="06",MID($C$39,3,2)="04"),
            IF($D45="Plug",#REF!,
                IF($D45="Key",#REF!,
                    IF(AND($D45&lt;=#REF!,$D45&gt;=#REF!),
                        INDEX(#REF!,MATCH(MID($C$39,3,2),{"04","06"},0)),
                        IF(AND($D45&lt;=#REF!,$D45&gt;=#REF!),
                            INDEX(#REF!,MATCH(MID($C$39,3,2),{"04","06"},0)),
                            "NOT IN DT RANGE")))),
            "MUST BE 06 OR 04"),
        "OTHER THAN DTM OR DT"))</f>
        <v>#REF!</v>
      </c>
      <c r="D45" s="13">
        <f>_xlfn.XLOOKUP($G45,$N$5:$N$116,$R$5:$R$116)</f>
        <v>14</v>
      </c>
      <c r="E45" s="13" t="str">
        <f>_xlfn.XLOOKUP($G45,$N$5:$N$116,$S$5:$S$116)</f>
        <v>RED</v>
      </c>
      <c r="F45" s="48" t="str">
        <f t="shared" ref="F45:F55" si="11">_xlfn.TEXTJOIN(" / ", TRUE,_xlfn.XLOOKUP($G45,$N$5:$N$116,$O$5:$O$116), _xlfn.XLOOKUP($G45,$N$5:$N$116,$P$5:$P$116))</f>
        <v>F15 / P1-C3</v>
      </c>
      <c r="G45" s="36" t="s">
        <v>298</v>
      </c>
      <c r="H45" s="13">
        <f>_xlfn.XLOOKUP($G45,$N$5:$N$116,$M$5:$M$116)</f>
        <v>7.3</v>
      </c>
      <c r="I45" s="13" t="str">
        <f>_xlfn.XLOOKUP($G45,$N$5:$N$116,$Q$5:$Q$116)</f>
        <v>Fuse 15 - Start Ignition +12V PWR</v>
      </c>
      <c r="M45" s="19">
        <f>M46+M47</f>
        <v>5.3000000000000007</v>
      </c>
      <c r="N45" s="25" t="s">
        <v>250</v>
      </c>
      <c r="O45" s="4" t="s">
        <v>398</v>
      </c>
      <c r="P45" s="4" t="s">
        <v>131</v>
      </c>
      <c r="Q45" s="6" t="s">
        <v>399</v>
      </c>
      <c r="R45" s="5">
        <v>18</v>
      </c>
      <c r="S45" s="4" t="s">
        <v>54</v>
      </c>
      <c r="T45" s="5">
        <v>600</v>
      </c>
      <c r="U45" s="5"/>
      <c r="V45" s="5"/>
      <c r="W45" s="56">
        <f t="shared" si="10"/>
        <v>14</v>
      </c>
      <c r="X45" s="56" t="s">
        <v>649</v>
      </c>
      <c r="Y45" s="5" t="s">
        <v>186</v>
      </c>
      <c r="Z45" s="5">
        <v>5</v>
      </c>
      <c r="AA45" s="8" t="s">
        <v>201</v>
      </c>
      <c r="AB45" s="5"/>
      <c r="AC45" s="8" t="s">
        <v>211</v>
      </c>
    </row>
    <row r="46" spans="2:30" ht="12.75" x14ac:dyDescent="0.2">
      <c r="B46" s="14">
        <v>2</v>
      </c>
      <c r="C46" s="13" t="e">
        <f>IF(LEFT($C$39,3)="DTM",
    IF(OR(MID($C$39,4,2)="06",MID($C$39,4,2)="04"),
        IF($D46="Plug",#REF!,
            IF($D46="Key",#REF!,
                IF(AND($D46&lt;=#REF!,$D46&gt;=#REF!),
                    INDEX(#REF!,MATCH(MID($C$39,4,2),{"04","06"},0)),
                    IF(AND($D46&lt;=#REF!,$D46&gt;=#REF!),
                        INDEX(#REF!,MATCH(MID($C$39,4,2),{"04","06"},0)),
                        "NOT IN DTM RANGE")))),
        "MUST BE 06 OR 04"),
    IF(LEFT($C$39,2)="DT",
        IF(OR(MID($C$39,3,2)="06",MID($C$39,3,2)="04"),
            IF($D46="Plug",#REF!,
                IF($D46="Key",#REF!,
                    IF(AND($D46&lt;=#REF!,$D46&gt;=#REF!),
                        INDEX(#REF!,MATCH(MID($C$39,3,2),{"04","06"},0)),
                        IF(AND($D46&lt;=#REF!,$D46&gt;=#REF!),
                            INDEX(#REF!,MATCH(MID($C$39,3,2),{"04","06"},0)),
                            "NOT IN DT RANGE")))),
            "MUST BE 06 OR 04"),
        "OTHER THAN DTM OR DT"))</f>
        <v>#REF!</v>
      </c>
      <c r="D46" s="13">
        <f t="shared" ref="D46:D55" si="12">_xlfn.XLOOKUP($G46,$N$5:$N$116,$R$5:$R$116)</f>
        <v>18</v>
      </c>
      <c r="E46" s="13" t="str">
        <f t="shared" ref="E46:E55" si="13">_xlfn.XLOOKUP($G46,$N$5:$N$116,$S$5:$S$116)</f>
        <v>RED</v>
      </c>
      <c r="F46" s="48" t="str">
        <f t="shared" si="11"/>
        <v>J17 / P2-C3</v>
      </c>
      <c r="G46" s="36" t="s">
        <v>295</v>
      </c>
      <c r="H46" s="13">
        <f>_xlfn.XLOOKUP($G46,$N$5:$N$116,$M$5:$M$116)</f>
        <v>1.35</v>
      </c>
      <c r="I46" s="13" t="str">
        <f t="shared" ref="I46:I55" si="14">_xlfn.XLOOKUP($G46,$N$5:$N$116,$Q$5:$Q$116)</f>
        <v>Brake PWR Circuit</v>
      </c>
      <c r="M46" s="19">
        <v>0.15</v>
      </c>
      <c r="N46" s="25" t="s">
        <v>251</v>
      </c>
      <c r="O46" s="4" t="s">
        <v>131</v>
      </c>
      <c r="P46" s="4" t="s">
        <v>400</v>
      </c>
      <c r="Q46" s="6" t="s">
        <v>401</v>
      </c>
      <c r="R46" s="5">
        <v>18</v>
      </c>
      <c r="S46" s="4" t="s">
        <v>54</v>
      </c>
      <c r="T46" s="5">
        <v>130</v>
      </c>
      <c r="U46" s="5"/>
      <c r="V46" s="5"/>
      <c r="W46" s="56">
        <v>15</v>
      </c>
      <c r="X46" s="56" t="s">
        <v>649</v>
      </c>
      <c r="Y46" s="5" t="s">
        <v>186</v>
      </c>
      <c r="Z46" s="5">
        <v>10</v>
      </c>
      <c r="AA46" s="8" t="s">
        <v>202</v>
      </c>
      <c r="AB46" s="5"/>
      <c r="AC46" s="8"/>
    </row>
    <row r="47" spans="2:30" ht="13.5" thickBot="1" x14ac:dyDescent="0.25">
      <c r="B47" s="14">
        <v>3</v>
      </c>
      <c r="C47" s="13" t="e">
        <f>IF(LEFT($C$39,3)="DTM",
    IF(OR(MID($C$39,4,2)="06",MID($C$39,4,2)="04"),
        IF($D47="Plug",#REF!,
            IF($D47="Key",#REF!,
                IF(AND($D47&lt;=#REF!,$D47&gt;=#REF!),
                    INDEX(#REF!,MATCH(MID($C$39,4,2),{"04","06"},0)),
                    IF(AND($D47&lt;=#REF!,$D47&gt;=#REF!),
                        INDEX(#REF!,MATCH(MID($C$39,4,2),{"04","06"},0)),
                        "NOT IN DTM RANGE")))),
        "MUST BE 06 OR 04"),
    IF(LEFT($C$39,2)="DT",
        IF(OR(MID($C$39,3,2)="06",MID($C$39,3,2)="04"),
            IF($D47="Plug",#REF!,
                IF($D47="Key",#REF!,
                    IF(AND($D47&lt;=#REF!,$D47&gt;=#REF!),
                        INDEX(#REF!,MATCH(MID($C$39,3,2),{"04","06"},0)),
                        IF(AND($D47&lt;=#REF!,$D47&gt;=#REF!),
                            INDEX(#REF!,MATCH(MID($C$39,3,2),{"04","06"},0)),
                            "NOT IN DT RANGE")))),
            "MUST BE 06 OR 04"),
        "OTHER THAN DTM OR DT"))</f>
        <v>#REF!</v>
      </c>
      <c r="D47" s="13">
        <f t="shared" si="12"/>
        <v>18</v>
      </c>
      <c r="E47" s="13" t="str">
        <f t="shared" si="13"/>
        <v>YELLOW</v>
      </c>
      <c r="F47" s="48" t="str">
        <f t="shared" si="11"/>
        <v>P3-C6 / P3-C3</v>
      </c>
      <c r="G47" s="36" t="s">
        <v>299</v>
      </c>
      <c r="H47" s="13">
        <f t="shared" ref="H47:H56" si="15">_xlfn.XLOOKUP($G47,$N$5:$N$116,$M$5:$M$116)</f>
        <v>0.25</v>
      </c>
      <c r="I47" s="13" t="str">
        <f t="shared" si="14"/>
        <v>+24V Turn Signal Logic Ref Voltage</v>
      </c>
      <c r="L47" s="35"/>
      <c r="M47" s="19">
        <f>M48+M50</f>
        <v>5.15</v>
      </c>
      <c r="N47" s="25" t="s">
        <v>252</v>
      </c>
      <c r="O47" s="4" t="s">
        <v>131</v>
      </c>
      <c r="P47" s="4" t="s">
        <v>402</v>
      </c>
      <c r="Q47" s="6" t="s">
        <v>403</v>
      </c>
      <c r="R47" s="5">
        <v>18</v>
      </c>
      <c r="S47" s="4" t="s">
        <v>54</v>
      </c>
      <c r="T47" s="5">
        <v>150</v>
      </c>
      <c r="U47" s="5"/>
      <c r="V47" s="5"/>
      <c r="W47" s="79"/>
      <c r="X47" s="79"/>
      <c r="Y47" s="18"/>
      <c r="Z47" s="18"/>
      <c r="AA47" s="81"/>
      <c r="AB47" s="18"/>
      <c r="AC47" s="81"/>
      <c r="AD47" s="53"/>
    </row>
    <row r="48" spans="2:30" ht="15.75" customHeight="1" x14ac:dyDescent="0.2">
      <c r="B48" s="14">
        <v>4</v>
      </c>
      <c r="C48" s="13" t="e">
        <f>IF(LEFT($C$39,3)="DTM",
    IF(OR(MID($C$39,4,2)="06",MID($C$39,4,2)="04"),
        IF($D48="Plug",#REF!,
            IF($D48="Key",#REF!,
                IF(AND($D48&lt;=#REF!,$D48&gt;=#REF!),
                    INDEX(#REF!,MATCH(MID($C$39,4,2),{"04","06"},0)),
                    IF(AND($D48&lt;=#REF!,$D48&gt;=#REF!),
                        INDEX(#REF!,MATCH(MID($C$39,4,2),{"04","06"},0)),
                        "NOT IN DTM RANGE")))),
        "MUST BE 06 OR 04"),
    IF(LEFT($C$39,2)="DT",
        IF(OR(MID($C$39,3,2)="06",MID($C$39,3,2)="04"),
            IF($D48="Plug",#REF!,
                IF($D48="Key",#REF!,
                    IF(AND($D48&lt;=#REF!,$D48&gt;=#REF!),
                        INDEX(#REF!,MATCH(MID($C$39,3,2),{"04","06"},0)),
                        IF(AND($D48&lt;=#REF!,$D48&gt;=#REF!),
                            INDEX(#REF!,MATCH(MID($C$39,3,2),{"04","06"},0)),
                            "NOT IN DT RANGE")))),
            "MUST BE 06 OR 04"),
        "OTHER THAN DTM OR DT"))</f>
        <v>#REF!</v>
      </c>
      <c r="D48" s="13">
        <f t="shared" si="12"/>
        <v>18</v>
      </c>
      <c r="E48" s="13" t="str">
        <f t="shared" si="13"/>
        <v>BLACK</v>
      </c>
      <c r="F48" s="48" t="str">
        <f t="shared" si="11"/>
        <v>P4-C8 / P4-C3</v>
      </c>
      <c r="G48" s="36" t="s">
        <v>264</v>
      </c>
      <c r="H48" s="13">
        <f t="shared" si="15"/>
        <v>3.7292857142857145</v>
      </c>
      <c r="I48" s="13" t="str">
        <f t="shared" si="14"/>
        <v>D1-D2 GND Path thru Neutral Switch</v>
      </c>
      <c r="L48" s="35"/>
      <c r="M48" s="19">
        <v>0.15</v>
      </c>
      <c r="N48" s="25" t="s">
        <v>253</v>
      </c>
      <c r="O48" s="4" t="s">
        <v>404</v>
      </c>
      <c r="P48" s="4" t="s">
        <v>405</v>
      </c>
      <c r="Q48" s="6" t="s">
        <v>406</v>
      </c>
      <c r="R48" s="5">
        <v>18</v>
      </c>
      <c r="S48" s="4" t="s">
        <v>54</v>
      </c>
      <c r="T48" s="5">
        <v>100</v>
      </c>
      <c r="U48" s="5"/>
      <c r="V48" s="5"/>
      <c r="W48" s="56"/>
      <c r="X48" s="56"/>
      <c r="AA48" s="8"/>
      <c r="AB48" s="5"/>
      <c r="AC48" s="8"/>
    </row>
    <row r="49" spans="2:29" ht="15.75" customHeight="1" x14ac:dyDescent="0.2">
      <c r="B49" s="14">
        <v>5</v>
      </c>
      <c r="C49" s="13" t="e">
        <f>IF(LEFT($C$39,3)="DTM",
    IF(OR(MID($C$39,4,2)="06",MID($C$39,4,2)="04"),
        IF($D49="Plug",#REF!,
            IF($D49="Key",#REF!,
                IF(AND($D49&lt;=#REF!,$D49&gt;=#REF!),
                    INDEX(#REF!,MATCH(MID($C$39,4,2),{"04","06"},0)),
                    IF(AND($D49&lt;=#REF!,$D49&gt;=#REF!),
                        INDEX(#REF!,MATCH(MID($C$39,4,2),{"04","06"},0)),
                        "NOT IN DTM RANGE")))),
        "MUST BE 06 OR 04"),
    IF(LEFT($C$39,2)="DT",
        IF(OR(MID($C$39,3,2)="06",MID($C$39,3,2)="04"),
            IF($D49="Plug",#REF!,
                IF($D49="Key",#REF!,
                    IF(AND($D49&lt;=#REF!,$D49&gt;=#REF!),
                        INDEX(#REF!,MATCH(MID($C$39,3,2),{"04","06"},0)),
                        IF(AND($D49&lt;=#REF!,$D49&gt;=#REF!),
                            INDEX(#REF!,MATCH(MID($C$39,3,2),{"04","06"},0)),
                            "NOT IN DT RANGE")))),
            "MUST BE 06 OR 04"),
        "OTHER THAN DTM OR DT"))</f>
        <v>#REF!</v>
      </c>
      <c r="D49" s="13">
        <f t="shared" si="12"/>
        <v>18</v>
      </c>
      <c r="E49" s="13" t="str">
        <f t="shared" si="13"/>
        <v>BLACK</v>
      </c>
      <c r="F49" s="48" t="str">
        <f t="shared" si="11"/>
        <v>P4-C10 / P5-C3</v>
      </c>
      <c r="G49" s="36" t="s">
        <v>261</v>
      </c>
      <c r="H49" s="13">
        <f t="shared" si="15"/>
        <v>3.7292857142857145</v>
      </c>
      <c r="I49" s="13" t="str">
        <f t="shared" si="14"/>
        <v>D3-D4 GND Path thru SS Switch</v>
      </c>
      <c r="M49" s="19">
        <f>M48</f>
        <v>0.15</v>
      </c>
      <c r="N49" s="25" t="s">
        <v>254</v>
      </c>
      <c r="O49" s="4" t="s">
        <v>408</v>
      </c>
      <c r="P49" s="4" t="s">
        <v>409</v>
      </c>
      <c r="Q49" s="6" t="s">
        <v>407</v>
      </c>
      <c r="R49" s="5">
        <v>20</v>
      </c>
      <c r="S49" s="4" t="s">
        <v>63</v>
      </c>
      <c r="T49" s="5">
        <v>600</v>
      </c>
      <c r="U49" s="5"/>
      <c r="V49" s="5"/>
      <c r="W49" s="56"/>
      <c r="X49" s="56"/>
      <c r="AA49" s="8"/>
      <c r="AB49" s="5"/>
      <c r="AC49" s="8"/>
    </row>
    <row r="50" spans="2:29" ht="12.75" x14ac:dyDescent="0.2">
      <c r="B50" s="14">
        <v>6</v>
      </c>
      <c r="C50" s="13" t="e">
        <f>IF(LEFT($C$39,3)="DTM",
    IF(OR(MID($C$39,4,2)="06",MID($C$39,4,2)="04"),
        IF($D50="Plug",#REF!,
            IF($D50="Key",#REF!,
                IF(AND($D50&lt;=#REF!,$D50&gt;=#REF!),
                    INDEX(#REF!,MATCH(MID($C$39,4,2),{"04","06"},0)),
                    IF(AND($D50&lt;=#REF!,$D50&gt;=#REF!),
                        INDEX(#REF!,MATCH(MID($C$39,4,2),{"04","06"},0)),
                        "NOT IN DTM RANGE")))),
        "MUST BE 06 OR 04"),
    IF(LEFT($C$39,2)="DT",
        IF(OR(MID($C$39,3,2)="06",MID($C$39,3,2)="04"),
            IF($D50="Plug",#REF!,
                IF($D50="Key",#REF!,
                    IF(AND($D50&lt;=#REF!,$D50&gt;=#REF!),
                        INDEX(#REF!,MATCH(MID($C$39,3,2),{"04","06"},0)),
                        IF(AND($D50&lt;=#REF!,$D50&gt;=#REF!),
                            INDEX(#REF!,MATCH(MID($C$39,3,2),{"04","06"},0)),
                            "NOT IN DT RANGE")))),
            "MUST BE 06 OR 04"),
        "OTHER THAN DTM OR DT"))</f>
        <v>#REF!</v>
      </c>
      <c r="D50" s="13">
        <f t="shared" si="12"/>
        <v>18</v>
      </c>
      <c r="E50" s="13" t="str">
        <f t="shared" si="13"/>
        <v>RED</v>
      </c>
      <c r="F50" s="48" t="str">
        <f t="shared" si="11"/>
        <v>F11 / P6-C3</v>
      </c>
      <c r="G50" s="36" t="s">
        <v>285</v>
      </c>
      <c r="H50" s="13">
        <f t="shared" si="15"/>
        <v>0.15</v>
      </c>
      <c r="I50" s="13" t="str">
        <f t="shared" si="14"/>
        <v>Lightbar Power Supply +12V</v>
      </c>
      <c r="L50" s="35"/>
      <c r="M50" s="19">
        <v>5</v>
      </c>
      <c r="N50" s="25" t="s">
        <v>255</v>
      </c>
      <c r="O50" s="4" t="s">
        <v>412</v>
      </c>
      <c r="P50" s="4" t="s">
        <v>411</v>
      </c>
      <c r="Q50" s="4" t="s">
        <v>410</v>
      </c>
      <c r="R50" s="5">
        <v>18</v>
      </c>
      <c r="S50" s="4" t="s">
        <v>54</v>
      </c>
      <c r="T50" s="5">
        <v>600</v>
      </c>
      <c r="U50" s="5"/>
      <c r="V50" s="5"/>
      <c r="W50" s="56"/>
      <c r="X50" s="56"/>
      <c r="AA50" s="8"/>
      <c r="AB50" s="5"/>
      <c r="AC50" s="8"/>
    </row>
    <row r="51" spans="2:29" ht="12.75" x14ac:dyDescent="0.2">
      <c r="B51" s="14">
        <v>7</v>
      </c>
      <c r="C51" s="13" t="e">
        <f>IF(LEFT($C$39,3)="DTM",
    IF(OR(MID($C$39,4,2)="06",MID($C$39,4,2)="04"),
        IF($D51="Plug",#REF!,
            IF($D51="Key",#REF!,
                IF(AND($D51&lt;=#REF!,$D51&gt;=#REF!),
                    INDEX(#REF!,MATCH(MID($C$39,4,2),{"04","06"},0)),
                    IF(AND($D51&lt;=#REF!,$D51&gt;=#REF!),
                        INDEX(#REF!,MATCH(MID($C$39,4,2),{"04","06"},0)),
                        "NOT IN DTM RANGE")))),
        "MUST BE 06 OR 04"),
    IF(LEFT($C$39,2)="DT",
        IF(OR(MID($C$39,3,2)="06",MID($C$39,3,2)="04"),
            IF($D51="Plug",#REF!,
                IF($D51="Key",#REF!,
                    IF(AND($D51&lt;=#REF!,$D51&gt;=#REF!),
                        INDEX(#REF!,MATCH(MID($C$39,3,2),{"04","06"},0)),
                        IF(AND($D51&lt;=#REF!,$D51&gt;=#REF!),
                            INDEX(#REF!,MATCH(MID($C$39,3,2),{"04","06"},0)),
                            "NOT IN DT RANGE")))),
            "MUST BE 06 OR 04"),
        "OTHER THAN DTM OR DT"))</f>
        <v>#REF!</v>
      </c>
      <c r="D51" s="13">
        <f t="shared" si="12"/>
        <v>16</v>
      </c>
      <c r="E51" s="13" t="str">
        <f t="shared" si="13"/>
        <v>RED</v>
      </c>
      <c r="F51" s="48" t="str">
        <f t="shared" si="11"/>
        <v>F13 / P7-C3</v>
      </c>
      <c r="G51" s="36" t="s">
        <v>293</v>
      </c>
      <c r="H51" s="13">
        <f t="shared" si="15"/>
        <v>4.5</v>
      </c>
      <c r="I51" s="13" t="str">
        <f t="shared" si="14"/>
        <v>Taill Illumination Fused +12V PWR</v>
      </c>
      <c r="M51" s="19">
        <v>4.75</v>
      </c>
      <c r="N51" s="25" t="s">
        <v>256</v>
      </c>
      <c r="O51" s="4" t="s">
        <v>415</v>
      </c>
      <c r="P51" s="4" t="s">
        <v>414</v>
      </c>
      <c r="Q51" s="4" t="s">
        <v>413</v>
      </c>
      <c r="R51" s="5">
        <v>16</v>
      </c>
      <c r="S51" s="4" t="s">
        <v>75</v>
      </c>
      <c r="T51" s="5">
        <v>600</v>
      </c>
      <c r="U51" s="5"/>
      <c r="V51" s="5"/>
      <c r="W51" s="56"/>
      <c r="X51" s="56"/>
      <c r="AA51" s="8"/>
      <c r="AB51" s="5"/>
      <c r="AC51" s="8"/>
    </row>
    <row r="52" spans="2:29" ht="12.75" x14ac:dyDescent="0.2">
      <c r="B52" s="14">
        <v>8</v>
      </c>
      <c r="C52" s="13" t="e">
        <f>IF(LEFT($C$39,3)="DTM",
    IF(OR(MID($C$39,4,2)="06",MID($C$39,4,2)="04"),
        IF($D52="Plug",#REF!,
            IF($D52="Key",#REF!,
                IF(AND($D52&lt;=#REF!,$D52&gt;=#REF!),
                    INDEX(#REF!,MATCH(MID($C$39,4,2),{"04","06"},0)),
                    IF(AND($D52&lt;=#REF!,$D52&gt;=#REF!),
                        INDEX(#REF!,MATCH(MID($C$39,4,2),{"04","06"},0)),
                        "NOT IN DTM RANGE")))),
        "MUST BE 06 OR 04"),
    IF(LEFT($C$39,2)="DT",
        IF(OR(MID($C$39,3,2)="06",MID($C$39,3,2)="04"),
            IF($D52="Plug",#REF!,
                IF($D52="Key",#REF!,
                    IF(AND($D52&lt;=#REF!,$D52&gt;=#REF!),
                        INDEX(#REF!,MATCH(MID($C$39,3,2),{"04","06"},0)),
                        IF(AND($D52&lt;=#REF!,$D52&gt;=#REF!),
                            INDEX(#REF!,MATCH(MID($C$39,3,2),{"04","06"},0)),
                            "NOT IN DT RANGE")))),
            "MUST BE 06 OR 04"),
        "OTHER THAN DTM OR DT"))</f>
        <v>#REF!</v>
      </c>
      <c r="D52" s="13">
        <f t="shared" si="12"/>
        <v>18</v>
      </c>
      <c r="E52" s="13" t="str">
        <f t="shared" si="13"/>
        <v>BLACK</v>
      </c>
      <c r="F52" s="48" t="str">
        <f t="shared" si="11"/>
        <v>RLY1-P85 / P8-C3</v>
      </c>
      <c r="G52" s="36" t="s">
        <v>258</v>
      </c>
      <c r="H52" s="13">
        <f t="shared" si="15"/>
        <v>0.15</v>
      </c>
      <c r="I52" s="13" t="str">
        <f t="shared" si="14"/>
        <v>Bank angle relay coil exit - gnd thru BAS</v>
      </c>
      <c r="M52" s="19">
        <v>4.5</v>
      </c>
      <c r="N52" s="25" t="s">
        <v>257</v>
      </c>
      <c r="O52" s="4" t="s">
        <v>417</v>
      </c>
      <c r="P52" s="4" t="s">
        <v>107</v>
      </c>
      <c r="Q52" s="6" t="s">
        <v>416</v>
      </c>
      <c r="R52" s="5">
        <v>18</v>
      </c>
      <c r="S52" s="4" t="s">
        <v>67</v>
      </c>
      <c r="T52" s="5">
        <v>600</v>
      </c>
      <c r="U52" s="5"/>
      <c r="V52" s="5"/>
      <c r="W52" s="5"/>
      <c r="X52" s="5"/>
      <c r="AA52" s="8"/>
      <c r="AB52" s="5"/>
      <c r="AC52" s="5"/>
    </row>
    <row r="53" spans="2:29" ht="12.75" x14ac:dyDescent="0.2">
      <c r="B53" s="14">
        <v>9</v>
      </c>
      <c r="C53" s="13" t="e">
        <f>IF(LEFT($C$39,3)="DTM",
    IF(OR(MID($C$39,4,2)="06",MID($C$39,4,2)="04"),
        IF($D53="Plug",#REF!,
            IF($D53="Key",#REF!,
                IF(AND($D53&lt;=#REF!,$D53&gt;=#REF!),
                    INDEX(#REF!,MATCH(MID($C$39,4,2),{"04","06"},0)),
                    IF(AND($D53&lt;=#REF!,$D53&gt;=#REF!),
                        INDEX(#REF!,MATCH(MID($C$39,4,2),{"04","06"},0)),
                        "NOT IN DTM RANGE")))),
        "MUST BE 06 OR 04"),
    IF(LEFT($C$39,2)="DT",
        IF(OR(MID($C$39,3,2)="06",MID($C$39,3,2)="04"),
            IF($D53="Plug",#REF!,
                IF($D53="Key",#REF!,
                    IF(AND($D53&lt;=#REF!,$D53&gt;=#REF!),
                        INDEX(#REF!,MATCH(MID($C$39,3,2),{"04","06"},0)),
                        IF(AND($D53&lt;=#REF!,$D53&gt;=#REF!),
                            INDEX(#REF!,MATCH(MID($C$39,3,2),{"04","06"},0)),
                            "NOT IN DT RANGE")))),
            "MUST BE 06 OR 04"),
        "OTHER THAN DTM OR DT"))</f>
        <v>#REF!</v>
      </c>
      <c r="D53" s="13">
        <f t="shared" si="12"/>
        <v>16</v>
      </c>
      <c r="E53" s="13" t="str">
        <f t="shared" si="13"/>
        <v>PURPLE</v>
      </c>
      <c r="F53" s="48" t="str">
        <f t="shared" si="11"/>
        <v>RLY9-P87 / P9-C3</v>
      </c>
      <c r="G53" s="36" t="s">
        <v>248</v>
      </c>
      <c r="H53" s="13">
        <f t="shared" si="15"/>
        <v>4.9000000000000004</v>
      </c>
      <c r="I53" s="13" t="str">
        <f t="shared" si="14"/>
        <v>Highbeam Output Power</v>
      </c>
      <c r="L53" s="35"/>
      <c r="M53" s="51">
        <f>M46</f>
        <v>0.15</v>
      </c>
      <c r="N53" s="25" t="s">
        <v>258</v>
      </c>
      <c r="O53" s="4" t="s">
        <v>420</v>
      </c>
      <c r="P53" s="4" t="s">
        <v>419</v>
      </c>
      <c r="Q53" s="4" t="s">
        <v>418</v>
      </c>
      <c r="R53" s="5">
        <v>18</v>
      </c>
      <c r="S53" s="4" t="s">
        <v>45</v>
      </c>
      <c r="T53" s="5">
        <v>600</v>
      </c>
      <c r="U53" s="5"/>
      <c r="V53" s="5"/>
      <c r="W53" s="5"/>
      <c r="X53" s="5"/>
      <c r="AA53" s="5"/>
      <c r="AB53" s="5"/>
      <c r="AC53" s="5"/>
    </row>
    <row r="54" spans="2:29" ht="12.75" x14ac:dyDescent="0.2">
      <c r="B54" s="14">
        <v>10</v>
      </c>
      <c r="C54" s="13" t="e">
        <f>IF(LEFT($C$39,3)="DTM",
    IF(OR(MID($C$39,4,2)="06",MID($C$39,4,2)="04"),
        IF($D54="Plug",#REF!,
            IF($D54="Key",#REF!,
                IF(AND($D54&lt;=#REF!,$D54&gt;=#REF!),
                    INDEX(#REF!,MATCH(MID($C$39,4,2),{"04","06"},0)),
                    IF(AND($D54&lt;=#REF!,$D54&gt;=#REF!),
                        INDEX(#REF!,MATCH(MID($C$39,4,2),{"04","06"},0)),
                        "NOT IN DTM RANGE")))),
        "MUST BE 06 OR 04"),
    IF(LEFT($C$39,2)="DT",
        IF(OR(MID($C$39,3,2)="06",MID($C$39,3,2)="04"),
            IF($D54="Plug",#REF!,
                IF($D54="Key",#REF!,
                    IF(AND($D54&lt;=#REF!,$D54&gt;=#REF!),
                        INDEX(#REF!,MATCH(MID($C$39,3,2),{"04","06"},0)),
                        IF(AND($D54&lt;=#REF!,$D54&gt;=#REF!),
                            INDEX(#REF!,MATCH(MID($C$39,3,2),{"04","06"},0)),
                            "NOT IN DT RANGE")))),
            "MUST BE 06 OR 04"),
        "OTHER THAN DTM OR DT"))</f>
        <v>#REF!</v>
      </c>
      <c r="D54" s="13">
        <f t="shared" si="12"/>
        <v>18</v>
      </c>
      <c r="E54" s="13" t="str">
        <f t="shared" si="13"/>
        <v>RED</v>
      </c>
      <c r="F54" s="48" t="str">
        <f t="shared" si="11"/>
        <v>RLY10-P87 / P10-C3</v>
      </c>
      <c r="G54" s="36" t="s">
        <v>255</v>
      </c>
      <c r="H54" s="13">
        <f t="shared" si="15"/>
        <v>5</v>
      </c>
      <c r="I54" s="13" t="str">
        <f t="shared" si="14"/>
        <v>Sidestand Down Light PWR (RPM ACTIVATED PWR)</v>
      </c>
      <c r="L54" s="35"/>
      <c r="M54" s="51">
        <v>1.4999999999999999E-2</v>
      </c>
      <c r="N54" s="25" t="s">
        <v>259</v>
      </c>
      <c r="O54" s="4" t="s">
        <v>76</v>
      </c>
      <c r="P54" s="4" t="s">
        <v>422</v>
      </c>
      <c r="Q54" s="4" t="s">
        <v>421</v>
      </c>
      <c r="R54" s="5">
        <v>18</v>
      </c>
      <c r="S54" s="4" t="s">
        <v>45</v>
      </c>
      <c r="T54" s="5">
        <v>600</v>
      </c>
      <c r="U54" s="5"/>
      <c r="V54" s="5"/>
      <c r="W54" s="5"/>
      <c r="X54" s="5"/>
      <c r="AA54" s="5"/>
      <c r="AB54" s="5"/>
      <c r="AC54" s="5"/>
    </row>
    <row r="55" spans="2:29" ht="12.75" x14ac:dyDescent="0.2">
      <c r="B55" s="14">
        <v>11</v>
      </c>
      <c r="C55" s="13" t="e">
        <f>IF(LEFT($C$39,3)="DTM",
    IF(OR(MID($C$39,4,2)="06",MID($C$39,4,2)="04"),
        IF($D55="Plug",#REF!,
            IF($D55="Key",#REF!,
                IF(AND($D55&lt;=#REF!,$D55&gt;=#REF!),
                    INDEX(#REF!,MATCH(MID($C$39,4,2),{"04","06"},0)),
                    IF(AND($D55&lt;=#REF!,$D55&gt;=#REF!),
                        INDEX(#REF!,MATCH(MID($C$39,4,2),{"04","06"},0)),
                        "NOT IN DTM RANGE")))),
        "MUST BE 06 OR 04"),
    IF(LEFT($C$39,2)="DT",
        IF(OR(MID($C$39,3,2)="06",MID($C$39,3,2)="04"),
            IF($D55="Plug",#REF!,
                IF($D55="Key",#REF!,
                    IF(AND($D55&lt;=#REF!,$D55&gt;=#REF!),
                        INDEX(#REF!,MATCH(MID($C$39,3,2),{"04","06"},0)),
                        IF(AND($D55&lt;=#REF!,$D55&gt;=#REF!),
                            INDEX(#REF!,MATCH(MID($C$39,3,2),{"04","06"},0)),
                            "NOT IN DT RANGE")))),
            "MUST BE 06 OR 04"),
        "OTHER THAN DTM OR DT"))</f>
        <v>#REF!</v>
      </c>
      <c r="D55" s="13">
        <f t="shared" si="12"/>
        <v>16</v>
      </c>
      <c r="E55" s="13" t="str">
        <f t="shared" si="13"/>
        <v>PINK</v>
      </c>
      <c r="F55" s="48" t="str">
        <f t="shared" si="11"/>
        <v>RLY11-P87a / P11-C3</v>
      </c>
      <c r="G55" s="36" t="s">
        <v>256</v>
      </c>
      <c r="H55" s="13">
        <f t="shared" si="15"/>
        <v>4.75</v>
      </c>
      <c r="I55" s="13" t="str">
        <f t="shared" si="14"/>
        <v>HeadLight Lowbeam PWR</v>
      </c>
      <c r="L55" s="35"/>
      <c r="M55" s="51">
        <f>M60</f>
        <v>3.7142857142857144</v>
      </c>
      <c r="N55" s="25" t="s">
        <v>260</v>
      </c>
      <c r="O55" s="4" t="s">
        <v>79</v>
      </c>
      <c r="P55" s="4" t="s">
        <v>109</v>
      </c>
      <c r="Q55" s="6" t="s">
        <v>423</v>
      </c>
      <c r="R55" s="5">
        <v>18</v>
      </c>
      <c r="S55" s="4" t="s">
        <v>45</v>
      </c>
      <c r="T55" s="5">
        <v>600</v>
      </c>
      <c r="U55" s="5"/>
      <c r="V55" s="5"/>
      <c r="W55" s="5"/>
      <c r="X55" s="5"/>
      <c r="AA55" s="5"/>
      <c r="AB55" s="5"/>
      <c r="AC55" s="5"/>
    </row>
    <row r="56" spans="2:29" ht="13.5" thickBot="1" x14ac:dyDescent="0.25">
      <c r="B56" s="49">
        <v>12</v>
      </c>
      <c r="C56" s="16" t="e">
        <f>IF(LEFT($C$39,3)="DTM",
    IF(OR(MID($C$39,4,2)="06",MID($C$39,4,2)="04"),
        IF($D56="Plug",#REF!,
            IF($D56="Key",#REF!,
                IF(AND($D56&lt;=#REF!,$D56&gt;=#REF!),
                    INDEX(#REF!,MATCH(MID($C$39,4,2),{"04","06"},0)),
                    IF(AND($D56&lt;=#REF!,$D56&gt;=#REF!),
                        INDEX(#REF!,MATCH(MID($C$39,4,2),{"04","06"},0)),
                        "NOT IN DTM RANGE")))),
        "MUST BE 06 OR 04"),
    IF(LEFT($C$39,2)="DT",
        IF(OR(MID($C$39,3,2)="06",MID($C$39,3,2)="04"),
            IF($D56="Plug",#REF!,
                IF($D56="Key",#REF!,
                    IF(AND($D56&lt;=#REF!,$D56&gt;=#REF!),
                        INDEX(#REF!,MATCH(MID($C$39,3,2),{"04","06"},0)),
                        IF(AND($D56&lt;=#REF!,$D56&gt;=#REF!),
                            INDEX(#REF!,MATCH(MID($C$39,3,2),{"04","06"},0)),
                            "NOT IN DT RANGE")))),
            "MUST BE 06 OR 04"),
        "OTHER THAN DTM OR DT"))</f>
        <v>#REF!</v>
      </c>
      <c r="D56" s="16" t="s">
        <v>57</v>
      </c>
      <c r="E56" s="16"/>
      <c r="F56" s="50"/>
      <c r="G56" s="36" t="s">
        <v>92</v>
      </c>
      <c r="H56" s="13" t="e">
        <f t="shared" si="15"/>
        <v>#N/A</v>
      </c>
      <c r="I56" s="13"/>
      <c r="M56" s="119"/>
      <c r="N56" s="120"/>
      <c r="O56" s="122"/>
      <c r="P56" s="122"/>
      <c r="Q56" s="122"/>
      <c r="R56" s="121"/>
      <c r="S56" s="122"/>
      <c r="T56" s="121"/>
      <c r="U56" s="121"/>
      <c r="V56" s="5"/>
      <c r="W56" s="5"/>
      <c r="X56" s="5"/>
      <c r="AA56" s="5"/>
      <c r="AB56" s="5"/>
      <c r="AC56" s="5"/>
    </row>
    <row r="57" spans="2:29" ht="12.75" x14ac:dyDescent="0.2">
      <c r="L57" s="35"/>
      <c r="M57" s="119"/>
      <c r="N57" s="120"/>
      <c r="O57" s="122"/>
      <c r="P57" s="122"/>
      <c r="Q57" s="122"/>
      <c r="R57" s="121"/>
      <c r="S57" s="122"/>
      <c r="T57" s="121"/>
      <c r="U57" s="122"/>
      <c r="V57" s="5"/>
      <c r="W57" s="5"/>
      <c r="X57" s="5"/>
      <c r="AA57" s="5"/>
      <c r="AB57" s="5"/>
      <c r="AC57" s="5"/>
    </row>
    <row r="58" spans="2:29" ht="13.5" thickBot="1" x14ac:dyDescent="0.25">
      <c r="M58" s="19">
        <f>M55+M54</f>
        <v>3.7292857142857145</v>
      </c>
      <c r="N58" s="25" t="s">
        <v>261</v>
      </c>
      <c r="O58" s="5" t="s">
        <v>618</v>
      </c>
      <c r="P58" s="5" t="s">
        <v>426</v>
      </c>
      <c r="Q58" s="10" t="s">
        <v>425</v>
      </c>
      <c r="R58" s="5">
        <v>18</v>
      </c>
      <c r="S58" s="5" t="s">
        <v>45</v>
      </c>
      <c r="T58" s="5">
        <v>600</v>
      </c>
      <c r="U58" s="5"/>
      <c r="V58" s="5"/>
      <c r="W58" s="5"/>
      <c r="X58" s="5"/>
      <c r="AA58" s="5"/>
      <c r="AB58" s="5"/>
      <c r="AC58" s="5"/>
    </row>
    <row r="59" spans="2:29" ht="23.25" x14ac:dyDescent="0.35">
      <c r="B59" s="38" t="str">
        <f>_xlfn.XLOOKUP(C59,$N$145:$N$196,$M$145:$M$196)</f>
        <v>MH-PS-1</v>
      </c>
      <c r="C59" s="39" t="s">
        <v>494</v>
      </c>
      <c r="D59" s="40"/>
      <c r="E59" s="41"/>
      <c r="F59" s="42" t="str">
        <f>_xlfn.XLOOKUP(C59,$N$145:$N$196,$O$145:$O$196)</f>
        <v>PS TO Main Harness - Connector 1</v>
      </c>
      <c r="M59" s="19">
        <v>1.4999999999999999E-2</v>
      </c>
      <c r="N59" s="25" t="s">
        <v>262</v>
      </c>
      <c r="O59" s="5" t="s">
        <v>427</v>
      </c>
      <c r="P59" s="4" t="s">
        <v>616</v>
      </c>
      <c r="Q59" s="5" t="s">
        <v>428</v>
      </c>
      <c r="R59" s="5">
        <v>18</v>
      </c>
      <c r="S59" s="5" t="s">
        <v>45</v>
      </c>
      <c r="T59" s="5">
        <v>600</v>
      </c>
      <c r="U59" s="5"/>
      <c r="V59" s="5"/>
      <c r="W59" s="125" t="s">
        <v>585</v>
      </c>
      <c r="X59" s="125"/>
      <c r="Y59" s="125"/>
      <c r="Z59" s="125"/>
      <c r="AA59" s="125"/>
      <c r="AB59" s="125"/>
      <c r="AC59" s="5"/>
    </row>
    <row r="60" spans="2:29" ht="15.75" customHeight="1" x14ac:dyDescent="0.2">
      <c r="B60" s="43" t="s">
        <v>0</v>
      </c>
      <c r="C60" s="11" t="str">
        <f>_xlfn.XLOOKUP(C59,$N$145:$N$196,$R$145:$R$196)</f>
        <v>DTM04-12P</v>
      </c>
      <c r="D60" s="37"/>
      <c r="E60" s="37"/>
      <c r="F60" s="44"/>
      <c r="M60" s="19">
        <f>13/3.5</f>
        <v>3.7142857142857144</v>
      </c>
      <c r="N60" s="25" t="s">
        <v>263</v>
      </c>
      <c r="O60" s="5" t="s">
        <v>108</v>
      </c>
      <c r="P60" s="4" t="s">
        <v>138</v>
      </c>
      <c r="Q60" s="5" t="s">
        <v>429</v>
      </c>
      <c r="R60" s="5">
        <v>18</v>
      </c>
      <c r="S60" s="5" t="s">
        <v>45</v>
      </c>
      <c r="T60" s="5">
        <v>600</v>
      </c>
      <c r="U60" s="5"/>
      <c r="V60" s="5"/>
      <c r="X60" s="115" t="s">
        <v>583</v>
      </c>
      <c r="Y60" s="115" t="s">
        <v>84</v>
      </c>
      <c r="Z60" s="115" t="s">
        <v>584</v>
      </c>
      <c r="AA60" s="115" t="s">
        <v>586</v>
      </c>
      <c r="AB60" s="115" t="s">
        <v>22</v>
      </c>
      <c r="AC60" s="5"/>
    </row>
    <row r="61" spans="2:29" ht="12.75" x14ac:dyDescent="0.2">
      <c r="B61" s="43" t="s">
        <v>1</v>
      </c>
      <c r="C61" s="45" t="s">
        <v>2</v>
      </c>
      <c r="D61" s="11"/>
      <c r="E61" s="11"/>
      <c r="F61" s="44"/>
      <c r="M61" s="119"/>
      <c r="N61" s="120"/>
      <c r="O61" s="121"/>
      <c r="P61" s="121"/>
      <c r="Q61" s="121"/>
      <c r="R61" s="121"/>
      <c r="S61" s="121"/>
      <c r="T61" s="121"/>
      <c r="U61" s="123"/>
      <c r="X61" s="104">
        <v>20</v>
      </c>
      <c r="Y61" s="104" t="s">
        <v>63</v>
      </c>
      <c r="Z61" s="5">
        <f t="shared" ref="Z61:Z78" si="16">SUMIFS($T$5:$T$116, $R$5:$R$116, $X61, $S$5:$S$116, $Y61)/12</f>
        <v>200</v>
      </c>
      <c r="AA61" s="104" t="s">
        <v>587</v>
      </c>
      <c r="AB61" s="8" t="str" cm="1">
        <f t="array" ref="AB61">_xlfn.TEXTJOIN(", ", TRUE, _xlfn._xlws.FILTER($N$5:$N$116, ($R$5:$R$116=$X61)*($S$5:$S$116=$Y61)))</f>
        <v>L.10.27, L.10.31, L.10.40, L.10.45</v>
      </c>
      <c r="AC61" s="5"/>
    </row>
    <row r="62" spans="2:29" ht="12.75" x14ac:dyDescent="0.2">
      <c r="B62" s="43" t="s">
        <v>3</v>
      </c>
      <c r="C62" s="30" t="str">
        <f>IF(_xlfn.XLOOKUP(C59,$N$145:$N$196,$T$145:$T$196,)=0,"", _xlfn.XLOOKUP(C59,$N$145:$N$196,$T$145:$T$196,))</f>
        <v/>
      </c>
      <c r="D62" s="46"/>
      <c r="E62" s="1"/>
      <c r="F62" s="44"/>
      <c r="M62" s="119"/>
      <c r="N62" s="120"/>
      <c r="O62" s="121"/>
      <c r="P62" s="121"/>
      <c r="Q62" s="121"/>
      <c r="R62" s="121"/>
      <c r="S62" s="121"/>
      <c r="T62" s="121"/>
      <c r="U62" s="123"/>
      <c r="X62" s="107">
        <v>20</v>
      </c>
      <c r="Y62" s="107" t="s">
        <v>66</v>
      </c>
      <c r="Z62" s="5">
        <f t="shared" si="16"/>
        <v>75</v>
      </c>
      <c r="AA62" s="105" t="s">
        <v>599</v>
      </c>
      <c r="AB62" s="8" t="str" cm="1">
        <f t="array" ref="AB62">_xlfn.TEXTJOIN(", ", TRUE, _xlfn._xlws.FILTER($N$5:$N$116, ($R$5:$R$116=$X62)*($S$5:$S$116=$Y62)))</f>
        <v>L.10.107, L.10.108, L.10.109, L.10.110</v>
      </c>
      <c r="AC62" s="5"/>
    </row>
    <row r="63" spans="2:29" ht="12.75" x14ac:dyDescent="0.2">
      <c r="B63" s="47"/>
      <c r="C63" s="1"/>
      <c r="D63" s="1"/>
      <c r="E63" s="1"/>
      <c r="F63" s="44"/>
      <c r="M63" s="19">
        <f>M60+M59</f>
        <v>3.7292857142857145</v>
      </c>
      <c r="N63" s="25" t="s">
        <v>264</v>
      </c>
      <c r="O63" s="5" t="s">
        <v>617</v>
      </c>
      <c r="P63" s="5" t="s">
        <v>431</v>
      </c>
      <c r="Q63" s="10" t="s">
        <v>430</v>
      </c>
      <c r="R63" s="5">
        <v>18</v>
      </c>
      <c r="S63" s="5" t="s">
        <v>45</v>
      </c>
      <c r="T63" s="5">
        <v>600</v>
      </c>
      <c r="U63" s="106"/>
      <c r="X63" s="107">
        <v>20</v>
      </c>
      <c r="Y63" s="107" t="s">
        <v>78</v>
      </c>
      <c r="Z63" s="5">
        <f t="shared" si="16"/>
        <v>100</v>
      </c>
      <c r="AA63" s="105" t="s">
        <v>600</v>
      </c>
      <c r="AB63" s="8" t="str" cm="1">
        <f t="array" ref="AB63">_xlfn.TEXTJOIN(", ", TRUE, _xlfn._xlws.FILTER($N$5:$N$116, ($R$5:$R$116=$X63)*($S$5:$S$116=$Y63)))</f>
        <v>L.10.82, L.10.83</v>
      </c>
      <c r="AC63" s="5"/>
    </row>
    <row r="64" spans="2:29" ht="12.75" x14ac:dyDescent="0.2">
      <c r="B64" s="47"/>
      <c r="C64" s="1"/>
      <c r="D64" s="1"/>
      <c r="E64" s="1"/>
      <c r="F64" s="44"/>
      <c r="M64" s="19">
        <f>M19</f>
        <v>0.15</v>
      </c>
      <c r="N64" s="25" t="s">
        <v>265</v>
      </c>
      <c r="O64" s="5" t="s">
        <v>439</v>
      </c>
      <c r="P64" s="5" t="s">
        <v>132</v>
      </c>
      <c r="Q64" s="5" t="s">
        <v>433</v>
      </c>
      <c r="R64" s="5">
        <v>22</v>
      </c>
      <c r="S64" s="5" t="s">
        <v>45</v>
      </c>
      <c r="T64" s="5">
        <v>150</v>
      </c>
      <c r="U64" s="106"/>
      <c r="X64" s="107">
        <v>20</v>
      </c>
      <c r="Y64" s="107" t="s">
        <v>62</v>
      </c>
      <c r="Z64" s="5">
        <f t="shared" si="16"/>
        <v>50</v>
      </c>
      <c r="AA64" s="105" t="s">
        <v>601</v>
      </c>
      <c r="AB64" s="8" t="str" cm="1">
        <f t="array" ref="AB64">_xlfn.TEXTJOIN(", ", TRUE, _xlfn._xlws.FILTER($N$5:$N$116, ($R$5:$R$116=$X64)*($S$5:$S$116=$Y64)))</f>
        <v>L.10.112</v>
      </c>
      <c r="AC64" s="5"/>
    </row>
    <row r="65" spans="2:29" ht="13.5" thickBot="1" x14ac:dyDescent="0.25">
      <c r="B65" s="84" t="s">
        <v>4</v>
      </c>
      <c r="C65" s="85" t="s">
        <v>85</v>
      </c>
      <c r="D65" s="85" t="s">
        <v>83</v>
      </c>
      <c r="E65" s="85" t="s">
        <v>84</v>
      </c>
      <c r="F65" s="86" t="s">
        <v>86</v>
      </c>
      <c r="G65" s="84" t="s">
        <v>11</v>
      </c>
      <c r="H65" s="85" t="s">
        <v>581</v>
      </c>
      <c r="I65" s="85" t="s">
        <v>90</v>
      </c>
      <c r="M65" s="19">
        <f>M20</f>
        <v>0.15</v>
      </c>
      <c r="N65" s="25" t="s">
        <v>266</v>
      </c>
      <c r="O65" s="5" t="s">
        <v>440</v>
      </c>
      <c r="P65" s="5" t="s">
        <v>132</v>
      </c>
      <c r="Q65" s="5" t="s">
        <v>434</v>
      </c>
      <c r="R65" s="5">
        <v>22</v>
      </c>
      <c r="S65" s="5" t="s">
        <v>45</v>
      </c>
      <c r="T65" s="5">
        <v>150</v>
      </c>
      <c r="U65" s="106"/>
      <c r="X65" s="107">
        <v>20</v>
      </c>
      <c r="Y65" s="107" t="s">
        <v>602</v>
      </c>
      <c r="Z65" s="5">
        <f t="shared" si="16"/>
        <v>50</v>
      </c>
      <c r="AA65" s="105" t="s">
        <v>603</v>
      </c>
      <c r="AB65" s="8" t="str" cm="1">
        <f t="array" ref="AB65">_xlfn.TEXTJOIN(", ", TRUE, _xlfn._xlws.FILTER($N$5:$N$116, ($R$5:$R$116=$X65)*($S$5:$S$116=$Y65)))</f>
        <v>L.10.111</v>
      </c>
      <c r="AC65" s="5"/>
    </row>
    <row r="66" spans="2:29" ht="12.75" x14ac:dyDescent="0.2">
      <c r="B66" s="77">
        <v>1</v>
      </c>
      <c r="C66" s="69" t="e">
        <f>IF(LEFT($C$60,3)="DTM",
    IF(OR(MID($C$60,4,2)="06",MID($C$60,4,2)="04"),
        IF($D66="Plug",#REF!,
            IF($D66="Key",#REF!,
                IF(AND($D66&lt;=#REF!,$D66&gt;=#REF!),
                    INDEX(#REF!,MATCH(MID($C$60,4,2),{"04","06"},0)),
                    IF(AND($D66&lt;=#REF!,$D66&gt;=#REF!),
                        INDEX(#REF!,MATCH(MID($C$60,4,2),{"04","06"},0)),
                        "NOT IN DTM RANGE")))),
        "MUST BE 06 OR 04"),
    IF(LEFT($C$60,2)="DT",
        IF(OR(MID($C$60,3,2)="06",MID($C$60,3,2)="04"),
            IF($D66="Plug",#REF!,
                IF($D66="Key",#REF!,
                    IF(AND($D66&lt;=#REF!,$D66&gt;=#REF!),
                        INDEX(#REF!,MATCH(MID($C$60,3,2),{"04","06"},0)),
                        IF(AND($D66&lt;=#REF!,$D66&gt;=#REF!),
                            INDEX(#REF!,MATCH(MID($C$60,3,2),{"04","06"},0)),
                            "NOT IN DT RANGE")))),
            "MUST BE 06 OR 04"),
        "OTHER THAN DTM OR DT"))</f>
        <v>#REF!</v>
      </c>
      <c r="D66" s="69">
        <f>_xlfn.XLOOKUP($G66,$N$5:$N$116,$R$5:$R$116)</f>
        <v>18</v>
      </c>
      <c r="E66" s="69" t="str">
        <f>_xlfn.XLOOKUP($G66,$N$5:$N$116,$S$5:$S$116)</f>
        <v>BROWN</v>
      </c>
      <c r="F66" s="78" t="str">
        <f t="shared" ref="F66:F77" si="17">_xlfn.TEXTJOIN(" / ", TRUE,_xlfn.XLOOKUP($G66,$N$5:$N$116,$O$5:$O$116), _xlfn.XLOOKUP($G66,$N$5:$N$116,$P$5:$P$116))</f>
        <v>RLY11-P87 / P1-C4</v>
      </c>
      <c r="G66" s="36" t="s">
        <v>257</v>
      </c>
      <c r="H66" s="13">
        <f>_xlfn.XLOOKUP($G66,$N$5:$N$116,$M$5:$M$116)</f>
        <v>4.5</v>
      </c>
      <c r="I66" s="13" t="str">
        <f>_xlfn.XLOOKUP($G66,$N$5:$N$116,$Q$5:$Q$116)</f>
        <v>Starter Relay Coil Power</v>
      </c>
      <c r="M66" s="19">
        <v>0.15</v>
      </c>
      <c r="N66" s="25" t="s">
        <v>267</v>
      </c>
      <c r="O66" s="5" t="s">
        <v>441</v>
      </c>
      <c r="P66" s="5" t="s">
        <v>132</v>
      </c>
      <c r="Q66" s="5" t="s">
        <v>435</v>
      </c>
      <c r="R66" s="5">
        <v>22</v>
      </c>
      <c r="S66" s="5" t="s">
        <v>45</v>
      </c>
      <c r="T66" s="5">
        <v>150</v>
      </c>
      <c r="U66" s="5"/>
      <c r="X66" s="104">
        <v>20</v>
      </c>
      <c r="Y66" s="104" t="s">
        <v>39</v>
      </c>
      <c r="Z66" s="5">
        <f t="shared" si="16"/>
        <v>0</v>
      </c>
      <c r="AA66" s="105" t="s">
        <v>593</v>
      </c>
      <c r="AB66" s="8" t="e" cm="1" vm="1">
        <f t="array" ref="AB66">_xlfn.TEXTJOIN(", ", TRUE, _xlfn._xlws.FILTER($N$5:$N$116, ($R$5:$R$116=$X66)*($S$5:$S$116=$Y66)))</f>
        <v>#VALUE!</v>
      </c>
      <c r="AC66" s="5"/>
    </row>
    <row r="67" spans="2:29" ht="12.75" x14ac:dyDescent="0.2">
      <c r="B67" s="14">
        <v>2</v>
      </c>
      <c r="C67" s="13" t="e">
        <f>IF(LEFT($C$60,3)="DTM",
    IF(OR(MID($C$60,4,2)="06",MID($C$60,4,2)="04"),
        IF($D67="Plug",#REF!,
            IF($D67="Key",#REF!,
                IF(AND($D67&lt;=#REF!,$D67&gt;=#REF!),
                    INDEX(#REF!,MATCH(MID($C$60,4,2),{"04","06"},0)),
                    IF(AND($D67&lt;=#REF!,$D67&gt;=#REF!),
                        INDEX(#REF!,MATCH(MID($C$60,4,2),{"04","06"},0)),
                        "NOT IN DTM RANGE")))),
        "MUST BE 06 OR 04"),
    IF(LEFT($C$60,2)="DT",
        IF(OR(MID($C$60,3,2)="06",MID($C$60,3,2)="04"),
            IF($D67="Plug",#REF!,
                IF($D67="Key",#REF!,
                    IF(AND($D67&lt;=#REF!,$D67&gt;=#REF!),
                        INDEX(#REF!,MATCH(MID($C$60,3,2),{"04","06"},0)),
                        IF(AND($D67&lt;=#REF!,$D67&gt;=#REF!),
                            INDEX(#REF!,MATCH(MID($C$60,3,2),{"04","06"},0)),
                            "NOT IN DT RANGE")))),
            "MUST BE 06 OR 04"),
        "OTHER THAN DTM OR DT"))</f>
        <v>#REF!</v>
      </c>
      <c r="D67" s="13">
        <f t="shared" ref="D67:D77" si="18">_xlfn.XLOOKUP($G67,$N$5:$N$116,$R$5:$R$116)</f>
        <v>18</v>
      </c>
      <c r="E67" s="13" t="str">
        <f t="shared" ref="E67:E77" si="19">_xlfn.XLOOKUP($G67,$N$5:$N$116,$S$5:$S$116)</f>
        <v>BLACK</v>
      </c>
      <c r="F67" s="48" t="str">
        <f t="shared" si="17"/>
        <v>P2-C4 / P2-C8</v>
      </c>
      <c r="G67" s="36" t="s">
        <v>263</v>
      </c>
      <c r="H67" s="13">
        <f>_xlfn.XLOOKUP($G67,$N$5:$N$116,$M$5:$M$116)</f>
        <v>3.7142857142857144</v>
      </c>
      <c r="I67" s="13" t="str">
        <f t="shared" ref="I67:I77" si="20">_xlfn.XLOOKUP($G67,$N$5:$N$116,$Q$5:$Q$116)</f>
        <v>Starter Relay Coil Exit - GND thru ns diode</v>
      </c>
      <c r="M67" s="19">
        <v>0.15</v>
      </c>
      <c r="N67" s="25" t="s">
        <v>268</v>
      </c>
      <c r="O67" s="5" t="s">
        <v>442</v>
      </c>
      <c r="P67" s="5" t="s">
        <v>132</v>
      </c>
      <c r="Q67" s="5" t="s">
        <v>436</v>
      </c>
      <c r="R67" s="5">
        <v>22</v>
      </c>
      <c r="S67" s="5" t="s">
        <v>45</v>
      </c>
      <c r="T67" s="5">
        <v>140</v>
      </c>
      <c r="U67" s="5"/>
      <c r="X67" s="104">
        <v>18</v>
      </c>
      <c r="Y67" s="104" t="s">
        <v>54</v>
      </c>
      <c r="Z67" s="5">
        <f t="shared" si="16"/>
        <v>490</v>
      </c>
      <c r="AA67" s="105" t="s">
        <v>589</v>
      </c>
      <c r="AB67" s="8" t="str" cm="1">
        <f t="array" ref="AB67">_xlfn.TEXTJOIN(", ", TRUE, _xlfn._xlws.FILTER($N$5:$N$116, ($R$5:$R$116=$X67)*($S$5:$S$116=$Y67)))</f>
        <v>L.10.41, L.10.42, L.10.43, L.10.44, L.10.46, L.10.77, L.10.78, L.10.79, L.10.80, L.10.81, L.10.90, L.10.91, L.10.92</v>
      </c>
      <c r="AC67" s="5"/>
    </row>
    <row r="68" spans="2:29" ht="12.75" x14ac:dyDescent="0.2">
      <c r="B68" s="14">
        <v>3</v>
      </c>
      <c r="C68" s="13" t="e">
        <f>IF(LEFT($C$60,3)="DTM",
    IF(OR(MID($C$60,4,2)="06",MID($C$60,4,2)="04"),
        IF($D68="Plug",#REF!,
            IF($D68="Key",#REF!,
                IF(AND($D68&lt;=#REF!,$D68&gt;=#REF!),
                    INDEX(#REF!,MATCH(MID($C$60,4,2),{"04","06"},0)),
                    IF(AND($D68&lt;=#REF!,$D68&gt;=#REF!),
                        INDEX(#REF!,MATCH(MID($C$60,4,2),{"04","06"},0)),
                        "NOT IN DTM RANGE")))),
        "MUST BE 06 OR 04"),
    IF(LEFT($C$60,2)="DT",
        IF(OR(MID($C$60,3,2)="06",MID($C$60,3,2)="04"),
            IF($D68="Plug",#REF!,
                IF($D68="Key",#REF!,
                    IF(AND($D68&lt;=#REF!,$D68&gt;=#REF!),
                        INDEX(#REF!,MATCH(MID($C$60,3,2),{"04","06"},0)),
                        IF(AND($D68&lt;=#REF!,$D68&gt;=#REF!),
                            INDEX(#REF!,MATCH(MID($C$60,3,2),{"04","06"},0)),
                            "NOT IN DT RANGE")))),
            "MUST BE 06 OR 04"),
        "OTHER THAN DTM OR DT"))</f>
        <v>#REF!</v>
      </c>
      <c r="D68" s="13">
        <f t="shared" si="18"/>
        <v>18</v>
      </c>
      <c r="E68" s="13" t="str">
        <f t="shared" si="19"/>
        <v>BLACK</v>
      </c>
      <c r="F68" s="48" t="str">
        <f t="shared" si="17"/>
        <v>P3-C10 / P3-C4</v>
      </c>
      <c r="G68" s="36" t="s">
        <v>260</v>
      </c>
      <c r="H68" s="13">
        <f t="shared" ref="H68:H77" si="21">_xlfn.XLOOKUP($G68,$N$5:$N$116,$M$5:$M$116)</f>
        <v>3.7142857142857144</v>
      </c>
      <c r="I68" s="13" t="str">
        <f t="shared" si="20"/>
        <v>Starter Relay Coil Exit - Thru clutch switch</v>
      </c>
      <c r="M68" s="19">
        <v>0.15</v>
      </c>
      <c r="N68" s="25" t="s">
        <v>269</v>
      </c>
      <c r="O68" s="5" t="s">
        <v>443</v>
      </c>
      <c r="P68" s="5" t="s">
        <v>132</v>
      </c>
      <c r="Q68" s="5" t="s">
        <v>437</v>
      </c>
      <c r="R68" s="5">
        <v>22</v>
      </c>
      <c r="S68" s="5" t="s">
        <v>45</v>
      </c>
      <c r="T68" s="5">
        <v>150</v>
      </c>
      <c r="U68" s="5"/>
      <c r="X68" s="107">
        <v>18</v>
      </c>
      <c r="Y68" s="107" t="s">
        <v>45</v>
      </c>
      <c r="Z68" s="5">
        <f t="shared" si="16"/>
        <v>379.16666666666669</v>
      </c>
      <c r="AA68" s="104" t="s">
        <v>595</v>
      </c>
      <c r="AB68" s="8" t="str" cm="1">
        <f t="array" ref="AB68">_xlfn.TEXTJOIN(", ", TRUE, _xlfn._xlws.FILTER($N$5:$N$116, ($R$5:$R$116=$X68)*($S$5:$S$116=$Y68)))</f>
        <v>L.10.49, L.10.50, L.10.51, L.10.54, L.10.55, L.10.56, L.10.59, L.10.103, L.10.104, L.10.105, L.10.106</v>
      </c>
    </row>
    <row r="69" spans="2:29" ht="12.75" x14ac:dyDescent="0.2">
      <c r="B69" s="14">
        <v>4</v>
      </c>
      <c r="C69" s="13" t="e">
        <f>IF(LEFT($C$60,3)="DTM",
    IF(OR(MID($C$60,4,2)="06",MID($C$60,4,2)="04"),
        IF($D69="Plug",#REF!,
            IF($D69="Key",#REF!,
                IF(AND($D69&lt;=#REF!,$D69&gt;=#REF!),
                    INDEX(#REF!,MATCH(MID($C$60,4,2),{"04","06"},0)),
                    IF(AND($D69&lt;=#REF!,$D69&gt;=#REF!),
                        INDEX(#REF!,MATCH(MID($C$60,4,2),{"04","06"},0)),
                        "NOT IN DTM RANGE")))),
        "MUST BE 06 OR 04"),
    IF(LEFT($C$60,2)="DT",
        IF(OR(MID($C$60,3,2)="06",MID($C$60,3,2)="04"),
            IF($D69="Plug",#REF!,
                IF($D69="Key",#REF!,
                    IF(AND($D69&lt;=#REF!,$D69&gt;=#REF!),
                        INDEX(#REF!,MATCH(MID($C$60,3,2),{"04","06"},0)),
                        IF(AND($D69&lt;=#REF!,$D69&gt;=#REF!),
                            INDEX(#REF!,MATCH(MID($C$60,3,2),{"04","06"},0)),
                            "NOT IN DT RANGE")))),
            "MUST BE 06 OR 04"),
        "OTHER THAN DTM OR DT"))</f>
        <v>#REF!</v>
      </c>
      <c r="D69" s="13">
        <f t="shared" si="18"/>
        <v>18</v>
      </c>
      <c r="E69" s="13" t="str">
        <f t="shared" si="19"/>
        <v>BLACK</v>
      </c>
      <c r="F69" s="48" t="str">
        <f t="shared" si="17"/>
        <v>P2-C10 / P4-C4</v>
      </c>
      <c r="G69" s="36" t="s">
        <v>259</v>
      </c>
      <c r="H69" s="13">
        <f t="shared" si="21"/>
        <v>1.4999999999999999E-2</v>
      </c>
      <c r="I69" s="13" t="str">
        <f t="shared" si="20"/>
        <v>SS Down LED GND - thru SS Diode</v>
      </c>
      <c r="M69" s="19">
        <v>0.15</v>
      </c>
      <c r="N69" s="25" t="s">
        <v>270</v>
      </c>
      <c r="O69" s="5" t="s">
        <v>444</v>
      </c>
      <c r="P69" s="5" t="s">
        <v>132</v>
      </c>
      <c r="Q69" s="5" t="s">
        <v>438</v>
      </c>
      <c r="R69" s="5">
        <v>22</v>
      </c>
      <c r="S69" s="5" t="s">
        <v>45</v>
      </c>
      <c r="T69" s="5">
        <v>150</v>
      </c>
      <c r="U69" s="5"/>
      <c r="X69" s="107">
        <v>18</v>
      </c>
      <c r="Y69" s="107" t="s">
        <v>39</v>
      </c>
      <c r="Z69" s="5">
        <f t="shared" si="16"/>
        <v>0</v>
      </c>
      <c r="AA69" s="105" t="s">
        <v>593</v>
      </c>
      <c r="AB69" s="8" t="e" cm="1" vm="1">
        <f t="array" ref="AB69">_xlfn.TEXTJOIN(", ", TRUE, _xlfn._xlws.FILTER($N$5:$N$116, ($R$5:$R$116=$X69)*($S$5:$S$116=$Y69)))</f>
        <v>#VALUE!</v>
      </c>
    </row>
    <row r="70" spans="2:29" ht="12.75" x14ac:dyDescent="0.2">
      <c r="B70" s="14">
        <v>5</v>
      </c>
      <c r="C70" s="13" t="e">
        <f>IF(LEFT($C$60,3)="DTM",
    IF(OR(MID($C$60,4,2)="06",MID($C$60,4,2)="04"),
        IF($D70="Plug",#REF!,
            IF($D70="Key",#REF!,
                IF(AND($D70&lt;=#REF!,$D70&gt;=#REF!),
                    INDEX(#REF!,MATCH(MID($C$60,4,2),{"04","06"},0)),
                    IF(AND($D70&lt;=#REF!,$D70&gt;=#REF!),
                        INDEX(#REF!,MATCH(MID($C$60,4,2),{"04","06"},0)),
                        "NOT IN DTM RANGE")))),
        "MUST BE 06 OR 04"),
    IF(LEFT($C$60,2)="DT",
        IF(OR(MID($C$60,3,2)="06",MID($C$60,3,2)="04"),
            IF($D70="Plug",#REF!,
                IF($D70="Key",#REF!,
                    IF(AND($D70&lt;=#REF!,$D70&gt;=#REF!),
                        INDEX(#REF!,MATCH(MID($C$60,3,2),{"04","06"},0)),
                        IF(AND($D70&lt;=#REF!,$D70&gt;=#REF!),
                            INDEX(#REF!,MATCH(MID($C$60,3,2),{"04","06"},0)),
                            "NOT IN DT RANGE")))),
            "MUST BE 06 OR 04"),
        "OTHER THAN DTM OR DT"))</f>
        <v>#REF!</v>
      </c>
      <c r="D70" s="13">
        <f t="shared" si="18"/>
        <v>18</v>
      </c>
      <c r="E70" s="13" t="str">
        <f t="shared" si="19"/>
        <v>BLACK</v>
      </c>
      <c r="F70" s="48" t="str">
        <f t="shared" si="17"/>
        <v>P5-C4 / P3-C8</v>
      </c>
      <c r="G70" s="36" t="s">
        <v>262</v>
      </c>
      <c r="H70" s="13">
        <f t="shared" si="21"/>
        <v>1.4999999999999999E-2</v>
      </c>
      <c r="I70" s="13" t="str">
        <f t="shared" si="20"/>
        <v>Neutral Light LED GND Path - thru NS Diode</v>
      </c>
      <c r="M70" s="19">
        <f>SUM(M64:M69)</f>
        <v>0.9</v>
      </c>
      <c r="N70" s="25" t="s">
        <v>271</v>
      </c>
      <c r="O70" s="5" t="s">
        <v>132</v>
      </c>
      <c r="P70" s="5" t="s">
        <v>122</v>
      </c>
      <c r="Q70" s="5" t="s">
        <v>445</v>
      </c>
      <c r="R70" s="5">
        <v>20</v>
      </c>
      <c r="S70" s="5" t="s">
        <v>633</v>
      </c>
      <c r="T70" s="5">
        <v>600</v>
      </c>
      <c r="U70" s="5"/>
      <c r="W70" t="s">
        <v>606</v>
      </c>
      <c r="X70" s="107">
        <v>18</v>
      </c>
      <c r="Y70" s="107" t="s">
        <v>70</v>
      </c>
      <c r="Z70" s="5">
        <f t="shared" si="16"/>
        <v>0</v>
      </c>
      <c r="AA70" s="104" t="s">
        <v>596</v>
      </c>
      <c r="AB70" s="8" t="e" cm="1" vm="1">
        <f t="array" ref="AB70">_xlfn.TEXTJOIN(", ", TRUE, _xlfn._xlws.FILTER($N$5:$N$116, ($R$5:$R$116=$X70)*($S$5:$S$116=$Y70)))</f>
        <v>#VALUE!</v>
      </c>
    </row>
    <row r="71" spans="2:29" ht="12.75" x14ac:dyDescent="0.2">
      <c r="B71" s="14">
        <v>6</v>
      </c>
      <c r="C71" s="13" t="e">
        <f>IF(LEFT($C$60,3)="DTM",
    IF(OR(MID($C$60,4,2)="06",MID($C$60,4,2)="04"),
        IF($D71="Plug",#REF!,
            IF($D71="Key",#REF!,
                IF(AND($D71&lt;=#REF!,$D71&gt;=#REF!),
                    INDEX(#REF!,MATCH(MID($C$60,4,2),{"04","06"},0)),
                    IF(AND($D71&lt;=#REF!,$D71&gt;=#REF!),
                        INDEX(#REF!,MATCH(MID($C$60,4,2),{"04","06"},0)),
                        "NOT IN DTM RANGE")))),
        "MUST BE 06 OR 04"),
    IF(LEFT($C$60,2)="DT",
        IF(OR(MID($C$60,3,2)="06",MID($C$60,3,2)="04"),
            IF($D71="Plug",#REF!,
                IF($D71="Key",#REF!,
                    IF(AND($D71&lt;=#REF!,$D71&gt;=#REF!),
                        INDEX(#REF!,MATCH(MID($C$60,3,2),{"04","06"},0)),
                        IF(AND($D71&lt;=#REF!,$D71&gt;=#REF!),
                            INDEX(#REF!,MATCH(MID($C$60,3,2),{"04","06"},0)),
                            "NOT IN DT RANGE")))),
            "MUST BE 06 OR 04"),
        "OTHER THAN DTM OR DT"))</f>
        <v>#REF!</v>
      </c>
      <c r="D71" s="13">
        <f t="shared" si="18"/>
        <v>20</v>
      </c>
      <c r="E71" s="13" t="str">
        <f t="shared" si="19"/>
        <v>RED</v>
      </c>
      <c r="F71" s="48" t="str">
        <f t="shared" si="17"/>
        <v>P6-C4 / J13</v>
      </c>
      <c r="G71" s="36" t="s">
        <v>272</v>
      </c>
      <c r="H71" s="13">
        <f t="shared" si="21"/>
        <v>0.44999999999999996</v>
      </c>
      <c r="I71" s="13" t="str">
        <f t="shared" si="20"/>
        <v>Switched (KeySwitch) +12V PWR</v>
      </c>
      <c r="M71" s="19">
        <f>M72+M73+M74</f>
        <v>0.44999999999999996</v>
      </c>
      <c r="N71" s="25" t="s">
        <v>272</v>
      </c>
      <c r="O71" s="4" t="s">
        <v>448</v>
      </c>
      <c r="P71" s="5" t="s">
        <v>133</v>
      </c>
      <c r="Q71" s="5" t="s">
        <v>447</v>
      </c>
      <c r="R71" s="5">
        <v>20</v>
      </c>
      <c r="S71" s="5" t="s">
        <v>54</v>
      </c>
      <c r="T71" s="5">
        <v>600</v>
      </c>
      <c r="U71" s="5"/>
      <c r="W71" t="s">
        <v>606</v>
      </c>
      <c r="X71" s="107">
        <v>18</v>
      </c>
      <c r="Y71" s="107" t="s">
        <v>139</v>
      </c>
      <c r="Z71" s="5">
        <f t="shared" si="16"/>
        <v>0</v>
      </c>
      <c r="AA71" s="104" t="s">
        <v>597</v>
      </c>
      <c r="AB71" s="8" t="e" cm="1" vm="1">
        <f t="array" ref="AB71">_xlfn.TEXTJOIN(", ", TRUE, _xlfn._xlws.FILTER($N$5:$N$116, ($R$5:$R$116=$X71)*($S$5:$S$116=$Y71)))</f>
        <v>#VALUE!</v>
      </c>
    </row>
    <row r="72" spans="2:29" ht="15.75" customHeight="1" x14ac:dyDescent="0.2">
      <c r="B72" s="14">
        <v>7</v>
      </c>
      <c r="C72" s="13" t="e">
        <f>IF(LEFT($C$60,3)="DTM",
    IF(OR(MID($C$60,4,2)="06",MID($C$60,4,2)="04"),
        IF($D72="Plug",#REF!,
            IF($D72="Key",#REF!,
                IF(AND($D72&lt;=#REF!,$D72&gt;=#REF!),
                    INDEX(#REF!,MATCH(MID($C$60,4,2),{"04","06"},0)),
                    IF(AND($D72&lt;=#REF!,$D72&gt;=#REF!),
                        INDEX(#REF!,MATCH(MID($C$60,4,2),{"04","06"},0)),
                        "NOT IN DTM RANGE")))),
        "MUST BE 06 OR 04"),
    IF(LEFT($C$60,2)="DT",
        IF(OR(MID($C$60,3,2)="06",MID($C$60,3,2)="04"),
            IF($D72="Plug",#REF!,
                IF($D72="Key",#REF!,
                    IF(AND($D72&lt;=#REF!,$D72&gt;=#REF!),
                        INDEX(#REF!,MATCH(MID($C$60,3,2),{"04","06"},0)),
                        IF(AND($D72&lt;=#REF!,$D72&gt;=#REF!),
                            INDEX(#REF!,MATCH(MID($C$60,3,2),{"04","06"},0)),
                            "NOT IN DT RANGE")))),
            "MUST BE 06 OR 04"),
        "OTHER THAN DTM OR DT"))</f>
        <v>#REF!</v>
      </c>
      <c r="D72" s="13">
        <f t="shared" si="18"/>
        <v>18</v>
      </c>
      <c r="E72" s="13" t="str">
        <f t="shared" si="19"/>
        <v>RED</v>
      </c>
      <c r="F72" s="48" t="str">
        <f t="shared" si="17"/>
        <v>P7-C4 / J9</v>
      </c>
      <c r="G72" s="36" t="s">
        <v>250</v>
      </c>
      <c r="H72" s="13">
        <f t="shared" si="21"/>
        <v>5.3000000000000007</v>
      </c>
      <c r="I72" s="13" t="str">
        <f t="shared" si="20"/>
        <v>Run / Stop Switch Input (+12V)</v>
      </c>
      <c r="M72" s="19">
        <v>0.15</v>
      </c>
      <c r="N72" s="25" t="s">
        <v>273</v>
      </c>
      <c r="O72" s="4" t="s">
        <v>133</v>
      </c>
      <c r="P72" s="4" t="s">
        <v>450</v>
      </c>
      <c r="Q72" s="6" t="s">
        <v>449</v>
      </c>
      <c r="R72" s="5">
        <v>20</v>
      </c>
      <c r="S72" s="5" t="s">
        <v>54</v>
      </c>
      <c r="T72" s="5">
        <v>150</v>
      </c>
      <c r="U72" s="5"/>
      <c r="X72" s="107">
        <v>18</v>
      </c>
      <c r="Y72" s="107" t="s">
        <v>46</v>
      </c>
      <c r="Z72" s="5">
        <f t="shared" si="16"/>
        <v>50</v>
      </c>
      <c r="AA72" s="105" t="s">
        <v>598</v>
      </c>
      <c r="AB72" s="8" t="str" cm="1">
        <f t="array" ref="AB72">_xlfn.TEXTJOIN(", ", TRUE, _xlfn._xlws.FILTER($N$5:$N$116, ($R$5:$R$116=$X72)*($S$5:$S$116=$Y72)))</f>
        <v>L.10.94</v>
      </c>
    </row>
    <row r="73" spans="2:29" ht="15.75" customHeight="1" x14ac:dyDescent="0.2">
      <c r="B73" s="14">
        <v>8</v>
      </c>
      <c r="C73" s="13" t="e">
        <f>IF(LEFT($C$60,3)="DTM",
    IF(OR(MID($C$60,4,2)="06",MID($C$60,4,2)="04"),
        IF($D73="Plug",#REF!,
            IF($D73="Key",#REF!,
                IF(AND($D73&lt;=#REF!,$D73&gt;=#REF!),
                    INDEX(#REF!,MATCH(MID($C$60,4,2),{"04","06"},0)),
                    IF(AND($D73&lt;=#REF!,$D73&gt;=#REF!),
                        INDEX(#REF!,MATCH(MID($C$60,4,2),{"04","06"},0)),
                        "NOT IN DTM RANGE")))),
        "MUST BE 06 OR 04"),
    IF(LEFT($C$60,2)="DT",
        IF(OR(MID($C$60,3,2)="06",MID($C$60,3,2)="04"),
            IF($D73="Plug",#REF!,
                IF($D73="Key",#REF!,
                    IF(AND($D73&lt;=#REF!,$D73&gt;=#REF!),
                        INDEX(#REF!,MATCH(MID($C$60,3,2),{"04","06"},0)),
                        IF(AND($D73&lt;=#REF!,$D73&gt;=#REF!),
                            INDEX(#REF!,MATCH(MID($C$60,3,2),{"04","06"},0)),
                            "NOT IN DT RANGE")))),
            "MUST BE 06 OR 04"),
        "OTHER THAN DTM OR DT"))</f>
        <v>#REF!</v>
      </c>
      <c r="D73" s="13">
        <f t="shared" si="18"/>
        <v>20</v>
      </c>
      <c r="E73" s="13" t="str">
        <f t="shared" si="19"/>
        <v>WHITE</v>
      </c>
      <c r="F73" s="48" t="str">
        <f t="shared" si="17"/>
        <v>P8-C4 / RLY9-P86</v>
      </c>
      <c r="G73" s="36" t="s">
        <v>551</v>
      </c>
      <c r="H73" s="13">
        <f t="shared" si="21"/>
        <v>0.15</v>
      </c>
      <c r="I73" s="13" t="str">
        <f t="shared" si="20"/>
        <v>Highbeam Switch Input +12V</v>
      </c>
      <c r="M73" s="19">
        <v>0.15</v>
      </c>
      <c r="N73" s="25" t="s">
        <v>274</v>
      </c>
      <c r="O73" s="4" t="s">
        <v>133</v>
      </c>
      <c r="P73" s="4" t="s">
        <v>453</v>
      </c>
      <c r="Q73" s="6" t="s">
        <v>451</v>
      </c>
      <c r="R73" s="5">
        <v>20</v>
      </c>
      <c r="S73" s="5" t="s">
        <v>54</v>
      </c>
      <c r="T73" s="5">
        <v>150</v>
      </c>
      <c r="U73" s="5"/>
      <c r="X73" s="107">
        <v>18</v>
      </c>
      <c r="Y73" s="107" t="s">
        <v>67</v>
      </c>
      <c r="Z73" s="5">
        <f t="shared" si="16"/>
        <v>50</v>
      </c>
      <c r="AA73" s="104" t="s">
        <v>126</v>
      </c>
      <c r="AB73" s="8" t="str" cm="1">
        <f t="array" ref="AB73">_xlfn.TEXTJOIN(", ", TRUE, _xlfn._xlws.FILTER($N$5:$N$116, ($R$5:$R$116=$X73)*($S$5:$S$116=$Y73)))</f>
        <v>L.10.48</v>
      </c>
    </row>
    <row r="74" spans="2:29" ht="12.75" x14ac:dyDescent="0.2">
      <c r="B74" s="14">
        <v>9</v>
      </c>
      <c r="C74" s="13" t="e">
        <f>IF(LEFT($C$60,3)="DTM",
    IF(OR(MID($C$60,4,2)="06",MID($C$60,4,2)="04"),
        IF($D74="Plug",#REF!,
            IF($D74="Key",#REF!,
                IF(AND($D74&lt;=#REF!,$D74&gt;=#REF!),
                    INDEX(#REF!,MATCH(MID($C$60,4,2),{"04","06"},0)),
                    IF(AND($D74&lt;=#REF!,$D74&gt;=#REF!),
                        INDEX(#REF!,MATCH(MID($C$60,4,2),{"04","06"},0)),
                        "NOT IN DTM RANGE")))),
        "MUST BE 06 OR 04"),
    IF(LEFT($C$60,2)="DT",
        IF(OR(MID($C$60,3,2)="06",MID($C$60,3,2)="04"),
            IF($D74="Plug",#REF!,
                IF($D74="Key",#REF!,
                    IF(AND($D74&lt;=#REF!,$D74&gt;=#REF!),
                        INDEX(#REF!,MATCH(MID($C$60,3,2),{"04","06"},0)),
                        IF(AND($D74&lt;=#REF!,$D74&gt;=#REF!),
                            INDEX(#REF!,MATCH(MID($C$60,3,2),{"04","06"},0)),
                            "NOT IN DT RANGE")))),
            "MUST BE 06 OR 04"),
        "OTHER THAN DTM OR DT"))</f>
        <v>#REF!</v>
      </c>
      <c r="D74" s="13">
        <f t="shared" si="18"/>
        <v>20</v>
      </c>
      <c r="E74" s="13" t="str">
        <f t="shared" si="19"/>
        <v>GRAY</v>
      </c>
      <c r="F74" s="48" t="str">
        <f t="shared" si="17"/>
        <v>P9-C4 / RLY12-P86</v>
      </c>
      <c r="G74" s="36" t="s">
        <v>287</v>
      </c>
      <c r="H74" s="13">
        <f t="shared" si="21"/>
        <v>0.15</v>
      </c>
      <c r="I74" s="13" t="str">
        <f t="shared" si="20"/>
        <v>Left Turn Signal Ref +24V PWR</v>
      </c>
      <c r="M74" s="19">
        <v>0.15</v>
      </c>
      <c r="N74" s="25" t="s">
        <v>275</v>
      </c>
      <c r="O74" s="4" t="s">
        <v>133</v>
      </c>
      <c r="P74" s="4" t="s">
        <v>454</v>
      </c>
      <c r="Q74" s="6" t="s">
        <v>452</v>
      </c>
      <c r="R74" s="5">
        <v>20</v>
      </c>
      <c r="S74" s="5" t="s">
        <v>54</v>
      </c>
      <c r="T74" s="5">
        <v>150</v>
      </c>
      <c r="U74" s="5"/>
      <c r="X74" s="104">
        <v>16</v>
      </c>
      <c r="Y74" s="104" t="s">
        <v>590</v>
      </c>
      <c r="Z74" s="5">
        <f t="shared" si="16"/>
        <v>50</v>
      </c>
      <c r="AA74" s="104" t="s">
        <v>591</v>
      </c>
      <c r="AB74" s="8" t="str" cm="1">
        <f t="array" ref="AB74">_xlfn.TEXTJOIN(", ", TRUE, _xlfn._xlws.FILTER($N$5:$N$116, ($R$5:$R$116=$X74)*($S$5:$S$116=$Y74)))</f>
        <v>L.10.39</v>
      </c>
    </row>
    <row r="75" spans="2:29" ht="12.75" x14ac:dyDescent="0.2">
      <c r="B75" s="14">
        <v>10</v>
      </c>
      <c r="C75" s="13" t="e">
        <f>IF(LEFT($C$60,3)="DTM",
    IF(OR(MID($C$60,4,2)="06",MID($C$60,4,2)="04"),
        IF($D75="Plug",#REF!,
            IF($D75="Key",#REF!,
                IF(AND($D75&lt;=#REF!,$D75&gt;=#REF!),
                    INDEX(#REF!,MATCH(MID($C$60,4,2),{"04","06"},0)),
                    IF(AND($D75&lt;=#REF!,$D75&gt;=#REF!),
                        INDEX(#REF!,MATCH(MID($C$60,4,2),{"04","06"},0)),
                        "NOT IN DTM RANGE")))),
        "MUST BE 06 OR 04"),
    IF(LEFT($C$60,2)="DT",
        IF(OR(MID($C$60,3,2)="06",MID($C$60,3,2)="04"),
            IF($D75="Plug",#REF!,
                IF($D75="Key",#REF!,
                    IF(AND($D75&lt;=#REF!,$D75&gt;=#REF!),
                        INDEX(#REF!,MATCH(MID($C$60,3,2),{"04","06"},0)),
                        IF(AND($D75&lt;=#REF!,$D75&gt;=#REF!),
                            INDEX(#REF!,MATCH(MID($C$60,3,2),{"04","06"},0)),
                            "NOT IN DT RANGE")))),
            "MUST BE 06 OR 04"),
        "OTHER THAN DTM OR DT"))</f>
        <v>#REF!</v>
      </c>
      <c r="D75" s="13">
        <f t="shared" si="18"/>
        <v>20</v>
      </c>
      <c r="E75" s="13" t="str">
        <f t="shared" si="19"/>
        <v>GRAY</v>
      </c>
      <c r="F75" s="48" t="str">
        <f t="shared" si="17"/>
        <v>P10-C4 / RLY13-P86</v>
      </c>
      <c r="G75" s="36" t="s">
        <v>288</v>
      </c>
      <c r="H75" s="13">
        <f t="shared" si="21"/>
        <v>0.15</v>
      </c>
      <c r="I75" s="13" t="str">
        <f t="shared" si="20"/>
        <v>Right Turn Signal Ref +24V PWR</v>
      </c>
      <c r="M75" s="19">
        <f>M76+M77+M78+M79</f>
        <v>23.15</v>
      </c>
      <c r="N75" s="25" t="s">
        <v>276</v>
      </c>
      <c r="O75" s="4" t="s">
        <v>458</v>
      </c>
      <c r="P75" s="4" t="s">
        <v>134</v>
      </c>
      <c r="Q75" s="6" t="s">
        <v>456</v>
      </c>
      <c r="R75" s="5">
        <v>12</v>
      </c>
      <c r="S75" s="4" t="s">
        <v>54</v>
      </c>
      <c r="T75" s="5">
        <v>50</v>
      </c>
      <c r="U75" s="5"/>
      <c r="X75" s="104">
        <v>16</v>
      </c>
      <c r="Y75" s="104" t="s">
        <v>54</v>
      </c>
      <c r="Z75" s="5">
        <f t="shared" si="16"/>
        <v>347.5</v>
      </c>
      <c r="AA75" s="105" t="s">
        <v>589</v>
      </c>
      <c r="AB75" s="8" t="str" cm="1">
        <f t="array" ref="AB75">_xlfn.TEXTJOIN(", ", TRUE, _xlfn._xlws.FILTER($N$5:$N$116, ($R$5:$R$116=$X75)*($S$5:$S$116=$Y75)))</f>
        <v>L.10.18, L.10.19, L.10.20, L.10.21, L.10.22, L.10.23, L.10.33, L.10.34, L.10.36, L.10.38, L.10.73, L.10.74, L.10.75, L.10.85, L.10.86, L.10.88, L.10.89, L.10.95</v>
      </c>
    </row>
    <row r="76" spans="2:29" ht="12.75" x14ac:dyDescent="0.2">
      <c r="B76" s="14">
        <v>11</v>
      </c>
      <c r="C76" s="13" t="e">
        <f>IF(LEFT($C$60,3)="DTM",
    IF(OR(MID($C$60,4,2)="06",MID($C$60,4,2)="04"),
        IF($D76="Plug",#REF!,
            IF($D76="Key",#REF!,
                IF(AND($D76&lt;=#REF!,$D76&gt;=#REF!),
                    INDEX(#REF!,MATCH(MID($C$60,4,2),{"04","06"},0)),
                    IF(AND($D76&lt;=#REF!,$D76&gt;=#REF!),
                        INDEX(#REF!,MATCH(MID($C$60,4,2),{"04","06"},0)),
                        "NOT IN DTM RANGE")))),
        "MUST BE 06 OR 04"),
    IF(LEFT($C$60,2)="DT",
        IF(OR(MID($C$60,3,2)="06",MID($C$60,3,2)="04"),
            IF($D76="Plug",#REF!,
                IF($D76="Key",#REF!,
                    IF(AND($D76&lt;=#REF!,$D76&gt;=#REF!),
                        INDEX(#REF!,MATCH(MID($C$60,3,2),{"04","06"},0)),
                        IF(AND($D76&lt;=#REF!,$D76&gt;=#REF!),
                            INDEX(#REF!,MATCH(MID($C$60,3,2),{"04","06"},0)),
                            "NOT IN DT RANGE")))),
            "MUST BE 06 OR 04"),
        "OTHER THAN DTM OR DT"))</f>
        <v>#REF!</v>
      </c>
      <c r="D76" s="13">
        <f t="shared" si="18"/>
        <v>20</v>
      </c>
      <c r="E76" s="13" t="str">
        <f t="shared" si="19"/>
        <v>ORANGE</v>
      </c>
      <c r="F76" s="48" t="str">
        <f t="shared" si="17"/>
        <v>RLY12-P87 / P11-C4</v>
      </c>
      <c r="G76" s="36" t="s">
        <v>315</v>
      </c>
      <c r="H76" s="13">
        <f t="shared" si="21"/>
        <v>2</v>
      </c>
      <c r="I76" s="13" t="str">
        <f t="shared" si="20"/>
        <v>Left turn signal Flashing 12V</v>
      </c>
      <c r="M76" s="19">
        <f>M80</f>
        <v>15</v>
      </c>
      <c r="N76" s="25" t="s">
        <v>277</v>
      </c>
      <c r="O76" s="4" t="s">
        <v>134</v>
      </c>
      <c r="P76" s="4" t="s">
        <v>459</v>
      </c>
      <c r="Q76" s="6" t="s">
        <v>463</v>
      </c>
      <c r="R76" s="5">
        <v>14</v>
      </c>
      <c r="S76" s="4" t="s">
        <v>54</v>
      </c>
      <c r="T76" s="5">
        <v>150</v>
      </c>
      <c r="U76" s="5"/>
      <c r="X76" s="107">
        <v>16</v>
      </c>
      <c r="Y76" s="107" t="s">
        <v>75</v>
      </c>
      <c r="Z76" s="5">
        <f t="shared" si="16"/>
        <v>50</v>
      </c>
      <c r="AA76" s="104" t="s">
        <v>592</v>
      </c>
      <c r="AB76" s="8" t="str" cm="1">
        <f t="array" ref="AB76">_xlfn.TEXTJOIN(", ", TRUE, _xlfn._xlws.FILTER($N$5:$N$116, ($R$5:$R$116=$X76)*($S$5:$S$116=$Y76)))</f>
        <v>L.10.47</v>
      </c>
    </row>
    <row r="77" spans="2:29" ht="13.5" thickBot="1" x14ac:dyDescent="0.25">
      <c r="B77" s="49">
        <v>12</v>
      </c>
      <c r="C77" s="16" t="e">
        <f>IF(LEFT($C$60,3)="DTM",
    IF(OR(MID($C$60,4,2)="06",MID($C$60,4,2)="04"),
        IF($D77="Plug",#REF!,
            IF($D77="Key",#REF!,
                IF(AND($D77&lt;=#REF!,$D77&gt;=#REF!),
                    INDEX(#REF!,MATCH(MID($C$60,4,2),{"04","06"},0)),
                    IF(AND($D77&lt;=#REF!,$D77&gt;=#REF!),
                        INDEX(#REF!,MATCH(MID($C$60,4,2),{"04","06"},0)),
                        "NOT IN DTM RANGE")))),
        "MUST BE 06 OR 04"),
    IF(LEFT($C$60,2)="DT",
        IF(OR(MID($C$60,3,2)="06",MID($C$60,3,2)="04"),
            IF($D77="Plug",#REF!,
                IF($D77="Key",#REF!,
                    IF(AND($D77&lt;=#REF!,$D77&gt;=#REF!),
                        INDEX(#REF!,MATCH(MID($C$60,3,2),{"04","06"},0)),
                        IF(AND($D77&lt;=#REF!,$D77&gt;=#REF!),
                            INDEX(#REF!,MATCH(MID($C$60,3,2),{"04","06"},0)),
                            "NOT IN DT RANGE")))),
            "MUST BE 06 OR 04"),
        "OTHER THAN DTM OR DT"))</f>
        <v>#REF!</v>
      </c>
      <c r="D77" s="16">
        <f t="shared" si="18"/>
        <v>20</v>
      </c>
      <c r="E77" s="16" t="str">
        <f t="shared" si="19"/>
        <v>LIGHT BLUE</v>
      </c>
      <c r="F77" s="50" t="str">
        <f t="shared" si="17"/>
        <v>RLY13-P87 / P12-C4</v>
      </c>
      <c r="G77" s="36" t="s">
        <v>316</v>
      </c>
      <c r="H77" s="13">
        <f t="shared" si="21"/>
        <v>2</v>
      </c>
      <c r="I77" s="13" t="str">
        <f t="shared" si="20"/>
        <v>Right turn signal Flashing 12V</v>
      </c>
      <c r="M77" s="19">
        <f>M83</f>
        <v>7.5</v>
      </c>
      <c r="N77" s="25" t="s">
        <v>278</v>
      </c>
      <c r="O77" s="4" t="s">
        <v>134</v>
      </c>
      <c r="P77" s="4" t="s">
        <v>460</v>
      </c>
      <c r="Q77" s="6" t="s">
        <v>464</v>
      </c>
      <c r="R77" s="5">
        <v>16</v>
      </c>
      <c r="S77" s="4" t="s">
        <v>54</v>
      </c>
      <c r="T77" s="5">
        <v>150</v>
      </c>
      <c r="U77" s="5"/>
      <c r="X77" s="104">
        <v>14</v>
      </c>
      <c r="Y77" s="104" t="s">
        <v>54</v>
      </c>
      <c r="Z77" s="5">
        <f t="shared" si="16"/>
        <v>162.5</v>
      </c>
      <c r="AA77" s="105" t="s">
        <v>589</v>
      </c>
      <c r="AB77" s="8" t="str" cm="1">
        <f t="array" ref="AB77">_xlfn.TEXTJOIN(", ", TRUE, _xlfn._xlws.FILTER($N$5:$N$116, ($R$5:$R$116=$X77)*($S$5:$S$116=$Y77)))</f>
        <v>L.10.14, L.10.25, L.10.72, L.10.76, L.10.87, L.10.93</v>
      </c>
    </row>
    <row r="78" spans="2:29" ht="12.75" x14ac:dyDescent="0.2">
      <c r="M78" s="19">
        <f>M84</f>
        <v>0.15</v>
      </c>
      <c r="N78" s="25" t="s">
        <v>279</v>
      </c>
      <c r="O78" s="4" t="s">
        <v>134</v>
      </c>
      <c r="P78" s="4" t="s">
        <v>461</v>
      </c>
      <c r="Q78" s="6" t="s">
        <v>465</v>
      </c>
      <c r="R78" s="5">
        <v>16</v>
      </c>
      <c r="S78" s="4" t="s">
        <v>54</v>
      </c>
      <c r="T78" s="5">
        <v>150</v>
      </c>
      <c r="U78" s="5"/>
      <c r="X78" s="104">
        <v>12</v>
      </c>
      <c r="Y78" s="104" t="s">
        <v>54</v>
      </c>
      <c r="Z78" s="5">
        <f t="shared" si="16"/>
        <v>299.58333333333331</v>
      </c>
      <c r="AA78" s="105" t="s">
        <v>588</v>
      </c>
      <c r="AB78" s="8" t="str" cm="1">
        <f t="array" ref="AB78">_xlfn.TEXTJOIN(", ", TRUE, _xlfn._xlws.FILTER($N$5:$N$116, ($R$5:$R$116=$X78)*($S$5:$S$116=$Y78)))</f>
        <v>L.10.1, L.10.2, L.10.3, L.10.4, L.10.5, L.10.6, L.10.7, L.10.8, L.10.9, L.10.10, L.10.11, L.10.12, L.10.13, L.10.17, L.10.28, L.10.30, L.10.32, L.10.35, L.10.71, L.10.84</v>
      </c>
    </row>
    <row r="79" spans="2:29" ht="13.5" thickBot="1" x14ac:dyDescent="0.25">
      <c r="M79" s="19">
        <v>0.5</v>
      </c>
      <c r="N79" s="25" t="s">
        <v>280</v>
      </c>
      <c r="O79" s="4" t="s">
        <v>134</v>
      </c>
      <c r="P79" s="4" t="s">
        <v>462</v>
      </c>
      <c r="Q79" s="6" t="s">
        <v>466</v>
      </c>
      <c r="R79" s="5">
        <v>16</v>
      </c>
      <c r="S79" s="4" t="s">
        <v>54</v>
      </c>
      <c r="T79" s="5">
        <v>150</v>
      </c>
      <c r="U79" s="5"/>
      <c r="Y79"/>
      <c r="Z79"/>
    </row>
    <row r="80" spans="2:29" ht="23.25" x14ac:dyDescent="0.35">
      <c r="B80" s="38" t="str">
        <f>_xlfn.XLOOKUP(C80,$N$145:$N$196,$M$145:$M$196)</f>
        <v>24VPS</v>
      </c>
      <c r="C80" s="39" t="s">
        <v>505</v>
      </c>
      <c r="D80" s="40"/>
      <c r="E80" s="41"/>
      <c r="F80" s="42" t="str">
        <f>_xlfn.XLOOKUP(C80,$N$145:$N$196,$O$145:$O$196)</f>
        <v>24V Power Supply - SUPPLY SIDE</v>
      </c>
      <c r="M80" s="19">
        <f>M81+M82</f>
        <v>15</v>
      </c>
      <c r="N80" s="25" t="s">
        <v>281</v>
      </c>
      <c r="O80" s="4" t="s">
        <v>459</v>
      </c>
      <c r="P80" s="4" t="s">
        <v>135</v>
      </c>
      <c r="Q80" s="4" t="s">
        <v>468</v>
      </c>
      <c r="R80" s="5">
        <v>14</v>
      </c>
      <c r="S80" s="4" t="s">
        <v>54</v>
      </c>
      <c r="T80" s="4">
        <v>50</v>
      </c>
    </row>
    <row r="81" spans="2:25" ht="12.75" x14ac:dyDescent="0.2">
      <c r="B81" s="43" t="s">
        <v>0</v>
      </c>
      <c r="C81" s="11" t="str">
        <f>_xlfn.XLOOKUP(C80,$N$145:$N$196,$R$145:$R$196)</f>
        <v>DT04-4P</v>
      </c>
      <c r="D81" s="37"/>
      <c r="E81" s="37"/>
      <c r="F81" s="44"/>
      <c r="M81" s="19">
        <v>7.5</v>
      </c>
      <c r="N81" s="25" t="s">
        <v>282</v>
      </c>
      <c r="O81" s="4" t="s">
        <v>135</v>
      </c>
      <c r="P81" s="4" t="s">
        <v>116</v>
      </c>
      <c r="Q81" s="4" t="s">
        <v>469</v>
      </c>
      <c r="R81" s="5">
        <v>18</v>
      </c>
      <c r="S81" s="4" t="s">
        <v>54</v>
      </c>
      <c r="T81" s="5">
        <v>600</v>
      </c>
      <c r="U81" s="5"/>
      <c r="X81" t="s">
        <v>604</v>
      </c>
      <c r="Y81" s="5">
        <f ca="1">SUM(Y61:Y89)</f>
        <v>109.50000000000001</v>
      </c>
    </row>
    <row r="82" spans="2:25" ht="12.75" x14ac:dyDescent="0.2">
      <c r="B82" s="43" t="s">
        <v>1</v>
      </c>
      <c r="C82" s="45" t="s">
        <v>2</v>
      </c>
      <c r="D82" s="11"/>
      <c r="E82" s="11"/>
      <c r="F82" s="44"/>
      <c r="M82" s="19">
        <v>7.5</v>
      </c>
      <c r="N82" s="25" t="s">
        <v>283</v>
      </c>
      <c r="O82" s="4" t="s">
        <v>135</v>
      </c>
      <c r="P82" s="4" t="s">
        <v>99</v>
      </c>
      <c r="Q82" s="4" t="s">
        <v>470</v>
      </c>
      <c r="R82" s="5">
        <v>18</v>
      </c>
      <c r="S82" s="5" t="str">
        <f>S81</f>
        <v>RED</v>
      </c>
      <c r="T82" s="5">
        <v>600</v>
      </c>
      <c r="U82" s="5"/>
      <c r="X82" t="s">
        <v>605</v>
      </c>
      <c r="Y82" s="5">
        <f>SUM(T5:T116)/12</f>
        <v>2704.1666666666665</v>
      </c>
    </row>
    <row r="83" spans="2:25" ht="12.75" x14ac:dyDescent="0.2">
      <c r="B83" s="43" t="s">
        <v>3</v>
      </c>
      <c r="C83" s="30" t="str">
        <f>IF(_xlfn.XLOOKUP(C80,$N$145:$N$196,$T$145:$T$196,)=0,"", _xlfn.XLOOKUP(C80,$N$145:$N$196,$T$145:$T$196,))</f>
        <v/>
      </c>
      <c r="D83" s="46"/>
      <c r="E83" s="1"/>
      <c r="F83" s="44"/>
      <c r="M83" s="19">
        <v>7.5</v>
      </c>
      <c r="N83" s="25" t="s">
        <v>284</v>
      </c>
      <c r="O83" s="4" t="s">
        <v>460</v>
      </c>
      <c r="P83" s="4" t="s">
        <v>117</v>
      </c>
      <c r="Q83" s="4" t="s">
        <v>471</v>
      </c>
      <c r="R83" s="5">
        <v>18</v>
      </c>
      <c r="S83" s="4" t="s">
        <v>54</v>
      </c>
      <c r="T83" s="5">
        <v>600</v>
      </c>
      <c r="U83" s="5"/>
    </row>
    <row r="84" spans="2:25" ht="15.75" customHeight="1" x14ac:dyDescent="0.2">
      <c r="B84" s="47"/>
      <c r="C84" s="1"/>
      <c r="D84" s="1"/>
      <c r="E84" s="1"/>
      <c r="F84" s="44"/>
      <c r="M84" s="19">
        <v>0.15</v>
      </c>
      <c r="N84" s="25" t="s">
        <v>285</v>
      </c>
      <c r="O84" s="4" t="s">
        <v>461</v>
      </c>
      <c r="P84" s="4" t="s">
        <v>473</v>
      </c>
      <c r="Q84" s="4" t="s">
        <v>472</v>
      </c>
      <c r="R84" s="5">
        <v>18</v>
      </c>
      <c r="S84" s="4" t="s">
        <v>54</v>
      </c>
      <c r="T84" s="5">
        <v>600</v>
      </c>
      <c r="U84" s="5"/>
    </row>
    <row r="85" spans="2:25" ht="15.75" customHeight="1" x14ac:dyDescent="0.2">
      <c r="B85" s="47"/>
      <c r="C85" s="1"/>
      <c r="D85" s="1"/>
      <c r="E85" s="1"/>
      <c r="F85" s="44"/>
      <c r="M85" s="19">
        <f>M79</f>
        <v>0.5</v>
      </c>
      <c r="N85" s="25" t="s">
        <v>286</v>
      </c>
      <c r="O85" s="4" t="s">
        <v>462</v>
      </c>
      <c r="P85" s="4" t="s">
        <v>118</v>
      </c>
      <c r="Q85" s="6" t="s">
        <v>474</v>
      </c>
      <c r="R85" s="5">
        <v>18</v>
      </c>
      <c r="S85" s="4" t="s">
        <v>54</v>
      </c>
      <c r="T85" s="5">
        <v>600</v>
      </c>
      <c r="U85" s="5"/>
    </row>
    <row r="86" spans="2:25" ht="13.5" thickBot="1" x14ac:dyDescent="0.25">
      <c r="B86" s="84" t="s">
        <v>4</v>
      </c>
      <c r="C86" s="85" t="s">
        <v>85</v>
      </c>
      <c r="D86" s="85" t="s">
        <v>83</v>
      </c>
      <c r="E86" s="85" t="s">
        <v>84</v>
      </c>
      <c r="F86" s="86" t="s">
        <v>86</v>
      </c>
      <c r="G86" s="84" t="s">
        <v>11</v>
      </c>
      <c r="H86" s="85" t="s">
        <v>581</v>
      </c>
      <c r="I86" s="85" t="s">
        <v>90</v>
      </c>
      <c r="J86" s="34"/>
      <c r="K86" s="3"/>
      <c r="M86" s="19">
        <v>0.15</v>
      </c>
      <c r="N86" s="25" t="s">
        <v>287</v>
      </c>
      <c r="O86" s="4" t="s">
        <v>476</v>
      </c>
      <c r="P86" s="4" t="s">
        <v>477</v>
      </c>
      <c r="Q86" s="6" t="s">
        <v>475</v>
      </c>
      <c r="R86" s="5">
        <v>20</v>
      </c>
      <c r="S86" s="4" t="s">
        <v>78</v>
      </c>
      <c r="T86" s="5">
        <v>600</v>
      </c>
      <c r="U86" s="5"/>
    </row>
    <row r="87" spans="2:25" ht="12.75" x14ac:dyDescent="0.2">
      <c r="B87" s="77">
        <v>1</v>
      </c>
      <c r="C87" s="69" t="e">
        <f>IF(LEFT($C$81,3)="DTM",
    IF(OR(MID($C$81,4,2)="06",MID($C$81,4,2)="04"),
        IF($D87="Plug",#REF!,
            IF($D87="Key",#REF!,
                IF(AND($D87&lt;=#REF!,$D87&gt;=#REF!),
                    INDEX(#REF!,MATCH(MID($C$81,4,2),{"04","06"},0)),
                    IF(AND($D87&lt;=#REF!,$D87&gt;=#REF!),
                        INDEX(#REF!,MATCH(MID($C$81,4,2),{"04","06"},0)),
                        "NOT IN DTM RANGE")))),
        "MUST BE 06 OR 04"),
    IF(LEFT($C$81,2)="DT",
        IF(OR(MID($C$81,3,2)="06",MID($C$81,3,2)="04"),
            IF($D87="Plug",#REF!,
                IF($D87="Key",#REF!,
                    IF(AND($D87&lt;=#REF!,$D87&gt;=#REF!),
                        INDEX(#REF!,MATCH(MID($C$81,3,2),{"04","06"},0)),
                        IF(AND($D87&lt;=#REF!,$D87&gt;=#REF!),
                            INDEX(#REF!,MATCH(MID($C$81,3,2),{"04","06"},0)),
                            "NOT IN DT RANGE")))),
            "MUST BE 06 OR 04"),
        "OTHER THAN DTM OR DT"))</f>
        <v>#REF!</v>
      </c>
      <c r="D87" s="69">
        <f>_xlfn.XLOOKUP($G87,$N$5:$N$116,$R$5:$R$116)</f>
        <v>16</v>
      </c>
      <c r="E87" s="69" t="str">
        <f>_xlfn.XLOOKUP($G87,$N$5:$N$116,$S$5:$S$116)</f>
        <v>RED</v>
      </c>
      <c r="F87" s="78" t="str">
        <f>_xlfn.TEXTJOIN(" / ", TRUE,_xlfn.XLOOKUP($G87,$N$5:$N$116,$O$5:$O$116), _xlfn.XLOOKUP($G87,$N$5:$N$116,$P$5:$P$116))</f>
        <v>P1-C5 / 24PS IN +</v>
      </c>
      <c r="G87" s="36" t="s">
        <v>300</v>
      </c>
      <c r="H87" s="13">
        <f>_xlfn.XLOOKUP($G87,$N$5:$N$116,$M$5:$M$116)</f>
        <v>5</v>
      </c>
      <c r="I87" s="13" t="str">
        <f>_xlfn.XLOOKUP($G87,$N$5:$N$116,$Q$5:$Q$116)</f>
        <v>+12V POWER SUPPLY</v>
      </c>
      <c r="M87" s="19">
        <v>0.15</v>
      </c>
      <c r="N87" s="25" t="s">
        <v>288</v>
      </c>
      <c r="O87" s="4" t="s">
        <v>479</v>
      </c>
      <c r="P87" s="4" t="s">
        <v>480</v>
      </c>
      <c r="Q87" s="6" t="s">
        <v>478</v>
      </c>
      <c r="R87" s="5">
        <v>20</v>
      </c>
      <c r="S87" s="4" t="s">
        <v>78</v>
      </c>
      <c r="T87" s="5">
        <v>600</v>
      </c>
      <c r="U87" s="5"/>
    </row>
    <row r="88" spans="2:25" ht="12.75" x14ac:dyDescent="0.2">
      <c r="B88" s="14">
        <v>2</v>
      </c>
      <c r="C88" s="13" t="e">
        <f>IF(LEFT($C$81,3)="DTM",
    IF(OR(MID($C$81,4,2)="06",MID($C$81,4,2)="04"),
        IF($D88="Plug",#REF!,
            IF($D88="Key",#REF!,
                IF(AND($D88&lt;=#REF!,$D88&gt;=#REF!),
                    INDEX(#REF!,MATCH(MID($C$81,4,2),{"04","06"},0)),
                    IF(AND($D88&lt;=#REF!,$D88&gt;=#REF!),
                        INDEX(#REF!,MATCH(MID($C$81,4,2),{"04","06"},0)),
                        "NOT IN DTM RANGE")))),
        "MUST BE 06 OR 04"),
    IF(LEFT($C$81,2)="DT",
        IF(OR(MID($C$81,3,2)="06",MID($C$81,3,2)="04"),
            IF($D88="Plug",#REF!,
                IF($D88="Key",#REF!,
                    IF(AND($D88&lt;=#REF!,$D88&gt;=#REF!),
                        INDEX(#REF!,MATCH(MID($C$81,3,2),{"04","06"},0)),
                        IF(AND($D88&lt;=#REF!,$D88&gt;=#REF!),
                            INDEX(#REF!,MATCH(MID($C$81,3,2),{"04","06"},0)),
                            "NOT IN DT RANGE")))),
            "MUST BE 06 OR 04"),
        "OTHER THAN DTM OR DT"))</f>
        <v>#REF!</v>
      </c>
      <c r="D88" s="13">
        <f t="shared" ref="D88:D90" si="22">_xlfn.XLOOKUP($G88,$N$5:$N$116,$R$5:$R$116)</f>
        <v>16</v>
      </c>
      <c r="E88" s="13" t="str">
        <f t="shared" ref="E88:E90" si="23">_xlfn.XLOOKUP($G88,$N$5:$N$116,$S$5:$S$116)</f>
        <v>BLACK</v>
      </c>
      <c r="F88" s="48" t="str">
        <f>_xlfn.TEXTJOIN(" / ", TRUE,_xlfn.XLOOKUP($G88,$N$5:$N$116,$O$5:$O$116), _xlfn.XLOOKUP($G88,$N$5:$N$116,$P$5:$P$116))</f>
        <v>P2-C5 / 24PS IN -</v>
      </c>
      <c r="G88" s="36" t="s">
        <v>301</v>
      </c>
      <c r="H88" s="13">
        <f>_xlfn.XLOOKUP($G88,$N$5:$N$116,$M$5:$M$116)</f>
        <v>5</v>
      </c>
      <c r="I88" s="13" t="str">
        <f t="shared" ref="I88:I90" si="24">_xlfn.XLOOKUP($G88,$N$5:$N$116,$Q$5:$Q$116)</f>
        <v>+12V BATTER NEG</v>
      </c>
      <c r="M88" s="19">
        <f>M89+M90+M91</f>
        <v>22.15</v>
      </c>
      <c r="N88" s="25" t="s">
        <v>289</v>
      </c>
      <c r="O88" s="4" t="s">
        <v>483</v>
      </c>
      <c r="P88" s="4" t="s">
        <v>136</v>
      </c>
      <c r="Q88" s="6" t="s">
        <v>481</v>
      </c>
      <c r="R88" s="5">
        <v>12</v>
      </c>
      <c r="S88" s="4" t="s">
        <v>54</v>
      </c>
      <c r="T88" s="5">
        <v>50</v>
      </c>
      <c r="U88" s="5"/>
    </row>
    <row r="89" spans="2:25" ht="12.75" x14ac:dyDescent="0.2">
      <c r="B89" s="14">
        <v>3</v>
      </c>
      <c r="C89" s="13" t="e">
        <f>IF(LEFT($C$81,3)="DTM",
    IF(OR(MID($C$81,4,2)="06",MID($C$81,4,2)="04"),
        IF($D89="Plug",#REF!,
            IF($D89="Key",#REF!,
                IF(AND($D89&lt;=#REF!,$D89&gt;=#REF!),
                    INDEX(#REF!,MATCH(MID($C$81,4,2),{"04","06"},0)),
                    IF(AND($D89&lt;=#REF!,$D89&gt;=#REF!),
                        INDEX(#REF!,MATCH(MID($C$81,4,2),{"04","06"},0)),
                        "NOT IN DTM RANGE")))),
        "MUST BE 06 OR 04"),
    IF(LEFT($C$81,2)="DT",
        IF(OR(MID($C$81,3,2)="06",MID($C$81,3,2)="04"),
            IF($D89="Plug",#REF!,
                IF($D89="Key",#REF!,
                    IF(AND($D89&lt;=#REF!,$D89&gt;=#REF!),
                        INDEX(#REF!,MATCH(MID($C$81,3,2),{"04","06"},0)),
                        IF(AND($D89&lt;=#REF!,$D89&gt;=#REF!),
                            INDEX(#REF!,MATCH(MID($C$81,3,2),{"04","06"},0)),
                            "NOT IN DT RANGE")))),
            "MUST BE 06 OR 04"),
        "OTHER THAN DTM OR DT"))</f>
        <v>#REF!</v>
      </c>
      <c r="D89" s="13">
        <f t="shared" si="22"/>
        <v>16</v>
      </c>
      <c r="E89" s="13" t="str">
        <f t="shared" si="23"/>
        <v>BLACK</v>
      </c>
      <c r="F89" s="48" t="str">
        <f>_xlfn.TEXTJOIN(" / ", TRUE,_xlfn.XLOOKUP($G89,$N$5:$N$116,$O$5:$O$116), _xlfn.XLOOKUP($G89,$N$5:$N$116,$P$5:$P$116))</f>
        <v>24PS OUT + / P3-C5</v>
      </c>
      <c r="G89" s="36" t="s">
        <v>302</v>
      </c>
      <c r="H89" s="13">
        <f t="shared" ref="H89:H90" si="25">_xlfn.XLOOKUP($G89,$N$5:$N$116,$M$5:$M$116)</f>
        <v>5</v>
      </c>
      <c r="I89" s="13" t="str">
        <f t="shared" si="24"/>
        <v>24V PS Positive</v>
      </c>
      <c r="M89" s="19">
        <f>M92</f>
        <v>4.5</v>
      </c>
      <c r="N89" s="25" t="s">
        <v>290</v>
      </c>
      <c r="O89" s="4" t="s">
        <v>136</v>
      </c>
      <c r="P89" s="4" t="s">
        <v>484</v>
      </c>
      <c r="Q89" s="4" t="s">
        <v>487</v>
      </c>
      <c r="R89" s="5">
        <v>16</v>
      </c>
      <c r="S89" s="4" t="s">
        <v>54</v>
      </c>
      <c r="T89" s="5">
        <v>150</v>
      </c>
      <c r="U89" s="5"/>
    </row>
    <row r="90" spans="2:25" ht="13.5" thickBot="1" x14ac:dyDescent="0.25">
      <c r="B90" s="49">
        <v>4</v>
      </c>
      <c r="C90" s="16" t="e">
        <f>IF(LEFT($C$81,3)="DTM",
    IF(OR(MID($C$81,4,2)="06",MID($C$81,4,2)="04"),
        IF($D90="Plug",#REF!,
            IF($D90="Key",#REF!,
                IF(AND($D90&lt;=#REF!,$D90&gt;=#REF!),
                    INDEX(#REF!,MATCH(MID($C$81,4,2),{"04","06"},0)),
                    IF(AND($D90&lt;=#REF!,$D90&gt;=#REF!),
                        INDEX(#REF!,MATCH(MID($C$81,4,2),{"04","06"},0)),
                        "NOT IN DTM RANGE")))),
        "MUST BE 06 OR 04"),
    IF(LEFT($C$81,2)="DT",
        IF(OR(MID($C$81,3,2)="06",MID($C$81,3,2)="04"),
            IF($D90="Plug",#REF!,
                IF($D90="Key",#REF!,
                    IF(AND($D90&lt;=#REF!,$D90&gt;=#REF!),
                        INDEX(#REF!,MATCH(MID($C$81,3,2),{"04","06"},0)),
                        IF(AND($D90&lt;=#REF!,$D90&gt;=#REF!),
                            INDEX(#REF!,MATCH(MID($C$81,3,2),{"04","06"},0)),
                            "NOT IN DT RANGE")))),
            "MUST BE 06 OR 04"),
        "OTHER THAN DTM OR DT"))</f>
        <v>#REF!</v>
      </c>
      <c r="D90" s="16">
        <f t="shared" si="22"/>
        <v>16</v>
      </c>
      <c r="E90" s="16" t="str">
        <f t="shared" si="23"/>
        <v>YELLOW</v>
      </c>
      <c r="F90" s="50" t="str">
        <f>_xlfn.TEXTJOIN(" / ", TRUE,_xlfn.XLOOKUP($G90,$N$5:$N$116,$O$5:$O$116), _xlfn.XLOOKUP($G90,$N$5:$N$116,$P$5:$P$116))</f>
        <v>24PS OUT - / P4-C5</v>
      </c>
      <c r="G90" s="36" t="s">
        <v>303</v>
      </c>
      <c r="H90" s="13">
        <f t="shared" si="25"/>
        <v>5</v>
      </c>
      <c r="I90" s="13" t="str">
        <f t="shared" si="24"/>
        <v>24V PS Negative</v>
      </c>
      <c r="M90" s="19">
        <f>M93</f>
        <v>10.35</v>
      </c>
      <c r="N90" s="25" t="s">
        <v>291</v>
      </c>
      <c r="O90" s="4" t="s">
        <v>136</v>
      </c>
      <c r="P90" s="4" t="s">
        <v>485</v>
      </c>
      <c r="Q90" s="4" t="s">
        <v>488</v>
      </c>
      <c r="R90" s="5">
        <v>16</v>
      </c>
      <c r="S90" s="4" t="s">
        <v>54</v>
      </c>
      <c r="T90" s="5">
        <v>150</v>
      </c>
      <c r="U90" s="5"/>
    </row>
    <row r="91" spans="2:25" ht="12.75" x14ac:dyDescent="0.2">
      <c r="M91" s="19">
        <f>M97</f>
        <v>7.3</v>
      </c>
      <c r="N91" s="25" t="s">
        <v>292</v>
      </c>
      <c r="O91" s="4" t="s">
        <v>136</v>
      </c>
      <c r="P91" s="4" t="s">
        <v>486</v>
      </c>
      <c r="Q91" s="4" t="s">
        <v>489</v>
      </c>
      <c r="R91" s="5">
        <v>14</v>
      </c>
      <c r="S91" s="4" t="s">
        <v>54</v>
      </c>
      <c r="T91" s="5">
        <v>150</v>
      </c>
      <c r="U91" s="5"/>
    </row>
    <row r="92" spans="2:25" ht="13.5" thickBot="1" x14ac:dyDescent="0.25">
      <c r="J92" s="33"/>
      <c r="K92" s="2"/>
      <c r="M92" s="19">
        <v>4.5</v>
      </c>
      <c r="N92" s="25" t="s">
        <v>293</v>
      </c>
      <c r="O92" s="4" t="s">
        <v>484</v>
      </c>
      <c r="P92" s="4" t="s">
        <v>491</v>
      </c>
      <c r="Q92" s="4" t="s">
        <v>490</v>
      </c>
      <c r="R92" s="4">
        <v>16</v>
      </c>
      <c r="S92" s="4" t="s">
        <v>54</v>
      </c>
      <c r="T92" s="5">
        <v>600</v>
      </c>
      <c r="U92" s="5"/>
    </row>
    <row r="93" spans="2:25" ht="23.25" x14ac:dyDescent="0.35">
      <c r="B93" s="38" t="str">
        <f>_xlfn.XLOOKUP(C93,$N$145:$N$196,$M$145:$M$196)</f>
        <v>24VPS</v>
      </c>
      <c r="C93" s="39" t="s">
        <v>507</v>
      </c>
      <c r="D93" s="40"/>
      <c r="E93" s="41"/>
      <c r="F93" s="42" t="str">
        <f>_xlfn.XLOOKUP(C93,$N$145:$N$196,$O$145:$O$196)</f>
        <v>24V Power Supply - HARNESS SIDE</v>
      </c>
      <c r="J93" s="33"/>
      <c r="K93" s="2"/>
      <c r="L93" s="21"/>
      <c r="M93" s="19">
        <f>M94+M95+M96</f>
        <v>10.35</v>
      </c>
      <c r="N93" s="25" t="s">
        <v>294</v>
      </c>
      <c r="O93" s="4" t="s">
        <v>485</v>
      </c>
      <c r="P93" s="4" t="s">
        <v>137</v>
      </c>
      <c r="Q93" s="4" t="s">
        <v>498</v>
      </c>
      <c r="R93" s="4">
        <v>16</v>
      </c>
      <c r="S93" s="4" t="s">
        <v>54</v>
      </c>
      <c r="T93" s="5">
        <v>50</v>
      </c>
      <c r="U93" s="5"/>
    </row>
    <row r="94" spans="2:25" ht="12.75" x14ac:dyDescent="0.2">
      <c r="B94" s="43" t="s">
        <v>0</v>
      </c>
      <c r="C94" s="11" t="str">
        <f>_xlfn.XLOOKUP(C93,$N$145:$N$196,$R$145:$R$196)</f>
        <v>DT06-4S</v>
      </c>
      <c r="D94" s="37"/>
      <c r="E94" s="37"/>
      <c r="F94" s="44"/>
      <c r="J94" s="33"/>
      <c r="K94" s="2"/>
      <c r="M94" s="19">
        <v>1.35</v>
      </c>
      <c r="N94" s="25" t="s">
        <v>295</v>
      </c>
      <c r="O94" s="4" t="s">
        <v>137</v>
      </c>
      <c r="P94" s="4" t="s">
        <v>114</v>
      </c>
      <c r="Q94" s="4" t="s">
        <v>500</v>
      </c>
      <c r="R94" s="5">
        <v>18</v>
      </c>
      <c r="S94" s="6" t="s">
        <v>54</v>
      </c>
      <c r="T94" s="5">
        <v>600</v>
      </c>
      <c r="U94" s="5"/>
    </row>
    <row r="95" spans="2:25" ht="12.75" x14ac:dyDescent="0.2">
      <c r="B95" s="43" t="s">
        <v>1</v>
      </c>
      <c r="C95" s="45" t="s">
        <v>2</v>
      </c>
      <c r="D95" s="11"/>
      <c r="E95" s="11"/>
      <c r="F95" s="44"/>
      <c r="J95" s="33"/>
      <c r="K95" s="2"/>
      <c r="M95" s="19">
        <f>2*2</f>
        <v>4</v>
      </c>
      <c r="N95" s="25" t="s">
        <v>296</v>
      </c>
      <c r="O95" s="4" t="s">
        <v>137</v>
      </c>
      <c r="P95" s="4" t="s">
        <v>502</v>
      </c>
      <c r="Q95" s="6" t="s">
        <v>503</v>
      </c>
      <c r="R95" s="5">
        <v>18</v>
      </c>
      <c r="S95" s="4" t="s">
        <v>54</v>
      </c>
      <c r="T95" s="5">
        <v>100</v>
      </c>
    </row>
    <row r="96" spans="2:25" ht="12.75" x14ac:dyDescent="0.2">
      <c r="B96" s="43" t="s">
        <v>3</v>
      </c>
      <c r="C96" s="30" t="str">
        <f>IF(_xlfn.XLOOKUP(C93,$N$145:$N$196,$T$145:$T$196,)=0,"", _xlfn.XLOOKUP(C93,$N$145:$N$196,$T$145:$T$196,))</f>
        <v/>
      </c>
      <c r="D96" s="46"/>
      <c r="E96" s="1"/>
      <c r="F96" s="44"/>
      <c r="M96" s="19">
        <f>M99</f>
        <v>5</v>
      </c>
      <c r="N96" s="25" t="s">
        <v>297</v>
      </c>
      <c r="O96" s="4" t="s">
        <v>137</v>
      </c>
      <c r="P96" s="4" t="s">
        <v>519</v>
      </c>
      <c r="Q96" s="6" t="s">
        <v>518</v>
      </c>
      <c r="R96" s="5">
        <v>18</v>
      </c>
      <c r="S96" s="6" t="s">
        <v>54</v>
      </c>
      <c r="T96" s="5">
        <v>600</v>
      </c>
    </row>
    <row r="97" spans="2:21" ht="12.75" x14ac:dyDescent="0.2">
      <c r="B97" s="47"/>
      <c r="C97" s="1"/>
      <c r="D97" s="1"/>
      <c r="E97" s="1"/>
      <c r="F97" s="44"/>
      <c r="M97" s="19">
        <v>7.3</v>
      </c>
      <c r="N97" s="25" t="s">
        <v>298</v>
      </c>
      <c r="O97" s="4" t="s">
        <v>486</v>
      </c>
      <c r="P97" s="4" t="s">
        <v>115</v>
      </c>
      <c r="Q97" s="4" t="s">
        <v>499</v>
      </c>
      <c r="R97" s="5">
        <v>14</v>
      </c>
      <c r="S97" s="4" t="s">
        <v>54</v>
      </c>
      <c r="T97" s="5">
        <v>600</v>
      </c>
    </row>
    <row r="98" spans="2:21" ht="13.5" thickBot="1" x14ac:dyDescent="0.25">
      <c r="B98" s="47"/>
      <c r="C98" s="1"/>
      <c r="D98" s="1"/>
      <c r="E98" s="1"/>
      <c r="F98" s="44"/>
      <c r="L98" s="35"/>
      <c r="M98" s="19">
        <v>0.25</v>
      </c>
      <c r="N98" s="25" t="s">
        <v>299</v>
      </c>
      <c r="O98" s="4" t="s">
        <v>522</v>
      </c>
      <c r="P98" s="4" t="s">
        <v>113</v>
      </c>
      <c r="Q98" s="6" t="s">
        <v>501</v>
      </c>
      <c r="R98" s="5">
        <v>18</v>
      </c>
      <c r="S98" s="4" t="s">
        <v>46</v>
      </c>
      <c r="T98" s="5">
        <v>600</v>
      </c>
    </row>
    <row r="99" spans="2:21" ht="13.5" thickBot="1" x14ac:dyDescent="0.25">
      <c r="B99" s="84" t="s">
        <v>4</v>
      </c>
      <c r="C99" s="85" t="s">
        <v>85</v>
      </c>
      <c r="D99" s="85" t="s">
        <v>83</v>
      </c>
      <c r="E99" s="85" t="s">
        <v>84</v>
      </c>
      <c r="F99" s="86" t="s">
        <v>86</v>
      </c>
      <c r="G99" s="84" t="s">
        <v>11</v>
      </c>
      <c r="H99" s="85" t="s">
        <v>581</v>
      </c>
      <c r="I99" s="85" t="s">
        <v>90</v>
      </c>
      <c r="M99" s="108">
        <v>5</v>
      </c>
      <c r="N99" s="109" t="s">
        <v>300</v>
      </c>
      <c r="O99" s="69" t="s">
        <v>112</v>
      </c>
      <c r="P99" s="69" t="s">
        <v>516</v>
      </c>
      <c r="Q99" s="110" t="s">
        <v>510</v>
      </c>
      <c r="R99" s="83">
        <v>16</v>
      </c>
      <c r="S99" s="110" t="s">
        <v>54</v>
      </c>
      <c r="T99" s="83">
        <v>0</v>
      </c>
      <c r="U99" s="130" t="s">
        <v>594</v>
      </c>
    </row>
    <row r="100" spans="2:21" ht="12.75" x14ac:dyDescent="0.2">
      <c r="B100" s="77">
        <v>1</v>
      </c>
      <c r="C100" s="69" t="e">
        <f>IF(LEFT($C$94,3)="DTM",
    IF(OR(MID($C$94,4,2)="06",MID($C$94,4,2)="04"),
        IF($D100="Plug",#REF!,
            IF($D100="Key",#REF!,
                IF(AND($D100&lt;=#REF!,$D100&gt;=#REF!),
                    INDEX(#REF!,MATCH(MID($C$94,4,2),{"04","06"},0)),
                    IF(AND($D100&lt;=#REF!,$D100&gt;=#REF!),
                        INDEX(#REF!,MATCH(MID($C$94,4,2),{"04","06"},0)),
                        "NOT IN DTM RANGE")))),
        "MUST BE 06 OR 04"),
    IF(LEFT($C$94,2)="DT",
        IF(OR(MID($C$94,3,2)="06",MID($C$94,3,2)="04"),
            IF($D100="Plug",#REF!,
                IF($D100="Key",#REF!,
                    IF(AND($D100&lt;=#REF!,$D100&gt;=#REF!),
                        INDEX(#REF!,MATCH(MID($C$94,3,2),{"04","06"},0)),
                        IF(AND($D100&lt;=#REF!,$D100&gt;=#REF!),
                            INDEX(#REF!,MATCH(MID($C$94,3,2),{"04","06"},0)),
                            "NOT IN DT RANGE")))),
            "MUST BE 06 OR 04"),
        "OTHER THAN DTM OR DT"))</f>
        <v>#REF!</v>
      </c>
      <c r="D100" s="69">
        <f>_xlfn.XLOOKUP($G100,$N$5:$N$116,$R$5:$R$116)</f>
        <v>18</v>
      </c>
      <c r="E100" s="69" t="str">
        <f>_xlfn.XLOOKUP($G100,$N$5:$N$116,$S$5:$S$116)</f>
        <v>RED</v>
      </c>
      <c r="F100" s="78" t="str">
        <f>_xlfn.TEXTJOIN(" / ", TRUE,_xlfn.XLOOKUP($G100,$N$5:$N$116,$O$5:$O$116), _xlfn.XLOOKUP($G100,$N$5:$N$116,$P$5:$P$116))</f>
        <v>J17 / P1-C6</v>
      </c>
      <c r="G100" s="36" t="s">
        <v>297</v>
      </c>
      <c r="H100" s="13">
        <f>_xlfn.XLOOKUP($G100,$N$5:$N$116,$M$5:$M$116)</f>
        <v>5</v>
      </c>
      <c r="I100" s="13" t="str">
        <f>_xlfn.XLOOKUP($G100,$N$5:$N$116,$Q$5:$Q$116)</f>
        <v>+12V For 24V Power Supply</v>
      </c>
      <c r="M100" s="111">
        <f>M99</f>
        <v>5</v>
      </c>
      <c r="N100" s="99" t="s">
        <v>301</v>
      </c>
      <c r="O100" s="13" t="s">
        <v>110</v>
      </c>
      <c r="P100" s="13" t="s">
        <v>517</v>
      </c>
      <c r="Q100" s="112" t="s">
        <v>511</v>
      </c>
      <c r="R100" s="12">
        <v>16</v>
      </c>
      <c r="S100" s="13" t="s">
        <v>45</v>
      </c>
      <c r="T100" s="12">
        <v>0</v>
      </c>
      <c r="U100" s="131"/>
    </row>
    <row r="101" spans="2:21" ht="12.75" x14ac:dyDescent="0.2">
      <c r="B101" s="14">
        <v>2</v>
      </c>
      <c r="C101" s="13" t="e">
        <f>IF(LEFT($C$94,3)="DTM",
    IF(OR(MID($C$94,4,2)="06",MID($C$94,4,2)="04"),
        IF($D101="Plug",#REF!,
            IF($D101="Key",#REF!,
                IF(AND($D101&lt;=#REF!,$D101&gt;=#REF!),
                    INDEX(#REF!,MATCH(MID($C$94,4,2),{"04","06"},0)),
                    IF(AND($D101&lt;=#REF!,$D101&gt;=#REF!),
                        INDEX(#REF!,MATCH(MID($C$94,4,2),{"04","06"},0)),
                        "NOT IN DTM RANGE")))),
        "MUST BE 06 OR 04"),
    IF(LEFT($C$94,2)="DT",
        IF(OR(MID($C$94,3,2)="06",MID($C$94,3,2)="04"),
            IF($D101="Plug",#REF!,
                IF($D101="Key",#REF!,
                    IF(AND($D101&lt;=#REF!,$D101&gt;=#REF!),
                        INDEX(#REF!,MATCH(MID($C$94,3,2),{"04","06"},0)),
                        IF(AND($D101&lt;=#REF!,$D101&gt;=#REF!),
                            INDEX(#REF!,MATCH(MID($C$94,3,2),{"04","06"},0)),
                            "NOT IN DT RANGE")))),
            "MUST BE 06 OR 04"),
        "OTHER THAN DTM OR DT"))</f>
        <v>#REF!</v>
      </c>
      <c r="D101" s="13">
        <f t="shared" ref="D101:D103" si="26">_xlfn.XLOOKUP($G101,$N$5:$N$116,$R$5:$R$116)</f>
        <v>18</v>
      </c>
      <c r="E101" s="13" t="str">
        <f t="shared" ref="E101:E103" si="27">_xlfn.XLOOKUP($G101,$N$5:$N$116,$S$5:$S$116)</f>
        <v>LIGHT GREEN</v>
      </c>
      <c r="F101" s="48" t="str">
        <f>_xlfn.TEXTJOIN(" / ", TRUE,_xlfn.XLOOKUP($G101,$N$5:$N$116,$O$5:$O$116), _xlfn.XLOOKUP($G101,$N$5:$N$116,$P$5:$P$116))</f>
        <v>P2-C6 / BAT -</v>
      </c>
      <c r="G101" s="36" t="s">
        <v>304</v>
      </c>
      <c r="H101" s="13">
        <f>_xlfn.XLOOKUP($G101,$N$5:$N$116,$M$5:$M$116)</f>
        <v>5</v>
      </c>
      <c r="I101" s="13" t="str">
        <f t="shared" ref="I101:I103" si="28">_xlfn.XLOOKUP($G101,$N$5:$N$116,$Q$5:$Q$116)</f>
        <v>+12V Battery Neg for 24V Power Supply System</v>
      </c>
      <c r="M101" s="111">
        <v>5</v>
      </c>
      <c r="N101" s="99" t="s">
        <v>302</v>
      </c>
      <c r="O101" s="13" t="s">
        <v>515</v>
      </c>
      <c r="P101" s="13" t="s">
        <v>111</v>
      </c>
      <c r="Q101" s="112" t="s">
        <v>512</v>
      </c>
      <c r="R101" s="12">
        <v>16</v>
      </c>
      <c r="S101" s="13" t="s">
        <v>45</v>
      </c>
      <c r="T101" s="12">
        <v>0</v>
      </c>
      <c r="U101" s="131"/>
    </row>
    <row r="102" spans="2:21" ht="13.5" thickBot="1" x14ac:dyDescent="0.25">
      <c r="B102" s="14">
        <v>3</v>
      </c>
      <c r="C102" s="13" t="e">
        <f>IF(LEFT($C$94,3)="DTM",
    IF(OR(MID($C$94,4,2)="06",MID($C$94,4,2)="04"),
        IF($D102="Plug",#REF!,
            IF($D102="Key",#REF!,
                IF(AND($D102&lt;=#REF!,$D102&gt;=#REF!),
                    INDEX(#REF!,MATCH(MID($C$94,4,2),{"04","06"},0)),
                    IF(AND($D102&lt;=#REF!,$D102&gt;=#REF!),
                        INDEX(#REF!,MATCH(MID($C$94,4,2),{"04","06"},0)),
                        "NOT IN DTM RANGE")))),
        "MUST BE 06 OR 04"),
    IF(LEFT($C$94,2)="DT",
        IF(OR(MID($C$94,3,2)="06",MID($C$94,3,2)="04"),
            IF($D102="Plug",#REF!,
                IF($D102="Key",#REF!,
                    IF(AND($D102&lt;=#REF!,$D102&gt;=#REF!),
                        INDEX(#REF!,MATCH(MID($C$94,3,2),{"04","06"},0)),
                        IF(AND($D102&lt;=#REF!,$D102&gt;=#REF!),
                            INDEX(#REF!,MATCH(MID($C$94,3,2),{"04","06"},0)),
                            "NOT IN DT RANGE")))),
            "MUST BE 06 OR 04"),
        "OTHER THAN DTM OR DT"))</f>
        <v>#REF!</v>
      </c>
      <c r="D102" s="13">
        <f t="shared" si="26"/>
        <v>18</v>
      </c>
      <c r="E102" s="13" t="str">
        <f t="shared" si="27"/>
        <v>YELLOW</v>
      </c>
      <c r="F102" s="48" t="str">
        <f>_xlfn.TEXTJOIN(" / ", TRUE,_xlfn.XLOOKUP($G102,$N$5:$N$116,$O$5:$O$116), _xlfn.XLOOKUP($G102,$N$5:$N$116,$P$5:$P$116))</f>
        <v>P3-C6 / P3-C3</v>
      </c>
      <c r="G102" s="36" t="s">
        <v>299</v>
      </c>
      <c r="H102" s="13">
        <f t="shared" ref="H102:H103" si="29">_xlfn.XLOOKUP($G102,$N$5:$N$116,$M$5:$M$116)</f>
        <v>0.25</v>
      </c>
      <c r="I102" s="13" t="str">
        <f t="shared" si="28"/>
        <v>+24V Turn Signal Logic Ref Voltage</v>
      </c>
      <c r="M102" s="113">
        <f>M101</f>
        <v>5</v>
      </c>
      <c r="N102" s="114" t="s">
        <v>303</v>
      </c>
      <c r="O102" s="16" t="s">
        <v>514</v>
      </c>
      <c r="P102" s="16" t="s">
        <v>509</v>
      </c>
      <c r="Q102" s="17" t="s">
        <v>513</v>
      </c>
      <c r="R102" s="18">
        <v>16</v>
      </c>
      <c r="S102" s="16" t="s">
        <v>46</v>
      </c>
      <c r="T102" s="18">
        <v>0</v>
      </c>
      <c r="U102" s="132"/>
    </row>
    <row r="103" spans="2:21" ht="13.5" thickBot="1" x14ac:dyDescent="0.25">
      <c r="B103" s="49">
        <v>4</v>
      </c>
      <c r="C103" s="16" t="e">
        <f>IF(LEFT($C$94,3)="DTM",
    IF(OR(MID($C$94,4,2)="06",MID($C$94,4,2)="04"),
        IF($D103="Plug",#REF!,
            IF($D103="Key",#REF!,
                IF(AND($D103&lt;=#REF!,$D103&gt;=#REF!),
                    INDEX(#REF!,MATCH(MID($C$94,4,2),{"04","06"},0)),
                    IF(AND($D103&lt;=#REF!,$D103&gt;=#REF!),
                        INDEX(#REF!,MATCH(MID($C$94,4,2),{"04","06"},0)),
                        "NOT IN DTM RANGE")))),
        "MUST BE 06 OR 04"),
    IF(LEFT($C$94,2)="DT",
        IF(OR(MID($C$94,3,2)="06",MID($C$94,3,2)="04"),
            IF($D103="Plug",#REF!,
                IF($D103="Key",#REF!,
                    IF(AND($D103&lt;=#REF!,$D103&gt;=#REF!),
                        INDEX(#REF!,MATCH(MID($C$94,3,2),{"04","06"},0)),
                        IF(AND($D103&lt;=#REF!,$D103&gt;=#REF!),
                            INDEX(#REF!,MATCH(MID($C$94,3,2),{"04","06"},0)),
                            "NOT IN DT RANGE")))),
            "MUST BE 06 OR 04"),
        "OTHER THAN DTM OR DT"))</f>
        <v>#REF!</v>
      </c>
      <c r="D103" s="16">
        <f t="shared" si="26"/>
        <v>18</v>
      </c>
      <c r="E103" s="16" t="str">
        <f t="shared" si="27"/>
        <v xml:space="preserve"> LIGHT GREEN</v>
      </c>
      <c r="F103" s="50" t="str">
        <f>_xlfn.TEXTJOIN(" / ", TRUE,_xlfn.XLOOKUP($G103,$N$5:$N$116,$O$5:$O$116), _xlfn.XLOOKUP($G103,$N$5:$N$116,$P$5:$P$116))</f>
        <v>J18 / P4-C6</v>
      </c>
      <c r="G103" s="36" t="s">
        <v>305</v>
      </c>
      <c r="H103" s="13">
        <f t="shared" si="29"/>
        <v>0.3</v>
      </c>
      <c r="I103" s="13" t="str">
        <f t="shared" si="28"/>
        <v>24V Power Supply System GND</v>
      </c>
      <c r="M103" s="19">
        <f>M96</f>
        <v>5</v>
      </c>
      <c r="N103" s="25" t="s">
        <v>304</v>
      </c>
      <c r="O103" s="4" t="s">
        <v>520</v>
      </c>
      <c r="P103" s="4" t="s">
        <v>122</v>
      </c>
      <c r="Q103" s="6" t="s">
        <v>521</v>
      </c>
      <c r="R103" s="5">
        <v>18</v>
      </c>
      <c r="S103" s="4" t="s">
        <v>634</v>
      </c>
      <c r="T103" s="5">
        <v>400</v>
      </c>
    </row>
    <row r="104" spans="2:21" ht="12.75" x14ac:dyDescent="0.2">
      <c r="M104" s="19">
        <f>M105+M106</f>
        <v>0.3</v>
      </c>
      <c r="N104" s="25" t="s">
        <v>305</v>
      </c>
      <c r="O104" s="4" t="s">
        <v>492</v>
      </c>
      <c r="P104" s="4" t="s">
        <v>523</v>
      </c>
      <c r="Q104" s="6" t="s">
        <v>525</v>
      </c>
      <c r="R104" s="5">
        <v>18</v>
      </c>
      <c r="S104" s="5" t="s">
        <v>633</v>
      </c>
      <c r="T104" s="5">
        <v>600</v>
      </c>
    </row>
    <row r="105" spans="2:21" ht="15.75" customHeight="1" thickBot="1" x14ac:dyDescent="0.25">
      <c r="M105" s="19">
        <v>0.15</v>
      </c>
      <c r="N105" s="25" t="s">
        <v>306</v>
      </c>
      <c r="O105" s="4" t="s">
        <v>528</v>
      </c>
      <c r="P105" s="4" t="s">
        <v>492</v>
      </c>
      <c r="Q105" s="6" t="s">
        <v>526</v>
      </c>
      <c r="R105" s="5">
        <v>18</v>
      </c>
      <c r="S105" s="5" t="s">
        <v>633</v>
      </c>
      <c r="T105" s="5">
        <v>100</v>
      </c>
      <c r="U105" s="5"/>
    </row>
    <row r="106" spans="2:21" ht="23.25" x14ac:dyDescent="0.35">
      <c r="B106" s="38" t="str">
        <f>_xlfn.XLOOKUP(C106,$N$145:$N$196,$M$145:$M$196)</f>
        <v>DIODE-NS</v>
      </c>
      <c r="C106" s="39" t="s">
        <v>608</v>
      </c>
      <c r="D106" s="40"/>
      <c r="E106" s="41"/>
      <c r="F106" s="42" t="str">
        <f>_xlfn.XLOOKUP(C106,$N$145:$N$196,$O$145:$O$196)</f>
        <v>Diode Pack - Nuetral Switch (Harness)</v>
      </c>
      <c r="M106" s="19">
        <v>0.15</v>
      </c>
      <c r="N106" s="25" t="s">
        <v>307</v>
      </c>
      <c r="O106" s="4" t="s">
        <v>529</v>
      </c>
      <c r="P106" s="4" t="s">
        <v>492</v>
      </c>
      <c r="Q106" s="6" t="s">
        <v>527</v>
      </c>
      <c r="R106" s="5">
        <v>18</v>
      </c>
      <c r="S106" s="5" t="s">
        <v>633</v>
      </c>
      <c r="T106" s="5">
        <v>100</v>
      </c>
      <c r="U106" s="5"/>
    </row>
    <row r="107" spans="2:21" ht="12.75" x14ac:dyDescent="0.2">
      <c r="B107" s="43" t="s">
        <v>0</v>
      </c>
      <c r="C107" s="11" t="str">
        <f>_xlfn.XLOOKUP(C106,$N$145:$N$196,$R$145:$R$196)</f>
        <v>DT06-4S</v>
      </c>
      <c r="D107" s="37"/>
      <c r="E107" s="37"/>
      <c r="F107" s="44"/>
      <c r="M107" s="19">
        <f>M105</f>
        <v>0.15</v>
      </c>
      <c r="N107" s="25" t="s">
        <v>308</v>
      </c>
      <c r="O107" s="4" t="s">
        <v>531</v>
      </c>
      <c r="P107" s="4" t="s">
        <v>532</v>
      </c>
      <c r="Q107" s="4" t="s">
        <v>530</v>
      </c>
      <c r="R107" s="5">
        <v>18</v>
      </c>
      <c r="S107" s="4" t="s">
        <v>45</v>
      </c>
      <c r="T107" s="5">
        <v>75</v>
      </c>
      <c r="U107" s="5"/>
    </row>
    <row r="108" spans="2:21" ht="12.75" x14ac:dyDescent="0.2">
      <c r="B108" s="43" t="s">
        <v>1</v>
      </c>
      <c r="C108" s="45" t="s">
        <v>2</v>
      </c>
      <c r="D108" s="11"/>
      <c r="E108" s="11"/>
      <c r="F108" s="44"/>
      <c r="M108" s="19">
        <f>M106</f>
        <v>0.15</v>
      </c>
      <c r="N108" s="25" t="s">
        <v>309</v>
      </c>
      <c r="O108" s="4" t="s">
        <v>533</v>
      </c>
      <c r="P108" s="4" t="s">
        <v>534</v>
      </c>
      <c r="Q108" s="4" t="s">
        <v>530</v>
      </c>
      <c r="R108" s="5">
        <v>18</v>
      </c>
      <c r="S108" s="4" t="s">
        <v>45</v>
      </c>
      <c r="T108" s="5">
        <v>75</v>
      </c>
      <c r="U108" s="5"/>
    </row>
    <row r="109" spans="2:21" ht="12.75" x14ac:dyDescent="0.2">
      <c r="B109" s="43" t="s">
        <v>3</v>
      </c>
      <c r="C109" s="30" t="str">
        <f>IF(_xlfn.XLOOKUP(C106,$N$145:$N$196,$T$145:$T$196,)=0,"", _xlfn.XLOOKUP(C106,$N$145:$N$196,$T$145:$T$196,))</f>
        <v/>
      </c>
      <c r="D109" s="46"/>
      <c r="E109" s="1"/>
      <c r="F109" s="44"/>
      <c r="M109" s="19">
        <f>M107</f>
        <v>0.15</v>
      </c>
      <c r="N109" s="25" t="s">
        <v>310</v>
      </c>
      <c r="O109" s="4" t="s">
        <v>535</v>
      </c>
      <c r="P109" s="4" t="s">
        <v>536</v>
      </c>
      <c r="Q109" s="4" t="s">
        <v>537</v>
      </c>
      <c r="R109" s="5">
        <v>18</v>
      </c>
      <c r="S109" s="4" t="s">
        <v>45</v>
      </c>
      <c r="T109" s="5">
        <v>100</v>
      </c>
      <c r="U109" s="5"/>
    </row>
    <row r="110" spans="2:21" ht="12.75" x14ac:dyDescent="0.2">
      <c r="B110" s="47"/>
      <c r="C110" s="1"/>
      <c r="D110" s="1"/>
      <c r="E110" s="1"/>
      <c r="F110" s="44"/>
      <c r="M110" s="19">
        <f>M108</f>
        <v>0.15</v>
      </c>
      <c r="N110" s="25" t="s">
        <v>311</v>
      </c>
      <c r="O110" s="4" t="s">
        <v>539</v>
      </c>
      <c r="P110" s="4" t="s">
        <v>540</v>
      </c>
      <c r="Q110" s="4" t="s">
        <v>538</v>
      </c>
      <c r="R110" s="5">
        <v>18</v>
      </c>
      <c r="S110" s="4" t="s">
        <v>45</v>
      </c>
      <c r="T110" s="5">
        <v>100</v>
      </c>
      <c r="U110" s="5"/>
    </row>
    <row r="111" spans="2:21" ht="12.75" x14ac:dyDescent="0.2">
      <c r="B111" s="47"/>
      <c r="C111" s="1"/>
      <c r="D111" s="1"/>
      <c r="E111" s="1"/>
      <c r="F111" s="44"/>
      <c r="M111" s="19">
        <f>M95</f>
        <v>4</v>
      </c>
      <c r="N111" s="25" t="s">
        <v>312</v>
      </c>
      <c r="O111" s="4" t="s">
        <v>542</v>
      </c>
      <c r="P111" s="4" t="s">
        <v>493</v>
      </c>
      <c r="Q111" s="4" t="s">
        <v>543</v>
      </c>
      <c r="R111" s="5">
        <v>20</v>
      </c>
      <c r="S111" s="4" t="s">
        <v>66</v>
      </c>
      <c r="T111" s="5">
        <v>100</v>
      </c>
      <c r="U111" s="5"/>
    </row>
    <row r="112" spans="2:21" ht="13.5" thickBot="1" x14ac:dyDescent="0.25">
      <c r="B112" s="72" t="s">
        <v>4</v>
      </c>
      <c r="C112" s="73" t="s">
        <v>85</v>
      </c>
      <c r="D112" s="73" t="s">
        <v>83</v>
      </c>
      <c r="E112" s="73" t="s">
        <v>84</v>
      </c>
      <c r="F112" s="74" t="s">
        <v>86</v>
      </c>
      <c r="G112" s="84" t="s">
        <v>11</v>
      </c>
      <c r="H112" s="85" t="s">
        <v>581</v>
      </c>
      <c r="I112" s="85" t="s">
        <v>90</v>
      </c>
      <c r="M112" s="19">
        <f>M111/2</f>
        <v>2</v>
      </c>
      <c r="N112" s="25" t="s">
        <v>313</v>
      </c>
      <c r="O112" s="4" t="s">
        <v>493</v>
      </c>
      <c r="P112" s="4" t="s">
        <v>546</v>
      </c>
      <c r="Q112" s="4" t="s">
        <v>544</v>
      </c>
      <c r="R112" s="5">
        <v>20</v>
      </c>
      <c r="S112" s="4" t="s">
        <v>66</v>
      </c>
      <c r="T112" s="5">
        <v>100</v>
      </c>
      <c r="U112" s="5"/>
    </row>
    <row r="113" spans="2:21" ht="12.75" x14ac:dyDescent="0.2">
      <c r="B113" s="77">
        <v>1</v>
      </c>
      <c r="C113" s="69" t="e">
        <f>IF(LEFT($C$107,3)="DTM",
    IF(OR(MID($C$107,4,2)="06",MID($C$107,4,2)="04"),
        IF($D113="Plug",#REF!,
            IF($D113="Key",#REF!,
                IF(AND($D113&lt;=#REF!,$D113&gt;=#REF!),
                    INDEX(#REF!,MATCH(MID($C$107,4,2),{"04","06"},0)),
                    IF(AND($D113&lt;=#REF!,$D113&gt;=#REF!),
                        INDEX(#REF!,MATCH(MID($C$107,4,2),{"04","06"},0)),
                        "NOT IN DTM RANGE")))),
        "MUST BE 06 OR 04"),
    IF(LEFT($C$107,2)="DT",
        IF(OR(MID($C$107,3,2)="06",MID($C$107,3,2)="04"),
            IF($D113="Plug",#REF!,
                IF($D113="Key",#REF!,
                    IF(AND($D113&lt;=#REF!,$D113&gt;=#REF!),
                        INDEX(#REF!,MATCH(MID($C$107,3,2),{"04","06"},0)),
                        IF(AND($D113&lt;=#REF!,$D113&gt;=#REF!),
                            INDEX(#REF!,MATCH(MID($C$107,3,2),{"04","06"},0)),
                            "NOT IN DT RANGE")))),
            "MUST BE 06 OR 04"),
        "OTHER THAN DTM OR DT"))</f>
        <v>#REF!</v>
      </c>
      <c r="D113" s="69" t="s">
        <v>619</v>
      </c>
      <c r="E113" s="69"/>
      <c r="F113" s="78"/>
      <c r="G113" s="36" t="s">
        <v>92</v>
      </c>
      <c r="H113" s="13"/>
      <c r="I113" s="13"/>
      <c r="M113" s="19">
        <f>M112</f>
        <v>2</v>
      </c>
      <c r="N113" s="25" t="s">
        <v>314</v>
      </c>
      <c r="O113" s="4" t="s">
        <v>493</v>
      </c>
      <c r="P113" s="4" t="s">
        <v>547</v>
      </c>
      <c r="Q113" s="4" t="s">
        <v>545</v>
      </c>
      <c r="R113" s="5">
        <v>20</v>
      </c>
      <c r="S113" s="4" t="s">
        <v>66</v>
      </c>
      <c r="T113" s="5">
        <v>100</v>
      </c>
      <c r="U113" s="5"/>
    </row>
    <row r="114" spans="2:21" ht="12.75" x14ac:dyDescent="0.2">
      <c r="B114" s="14">
        <v>2</v>
      </c>
      <c r="C114" s="13" t="e">
        <f>IF(LEFT($C$107,3)="DTM",
    IF(OR(MID($C$107,4,2)="06",MID($C$107,4,2)="04"),
        IF($D114="Plug",#REF!,
            IF($D114="Key",#REF!,
                IF(AND($D114&lt;=#REF!,$D114&gt;=#REF!),
                    INDEX(#REF!,MATCH(MID($C$107,4,2),{"04","06"},0)),
                    IF(AND($D114&lt;=#REF!,$D114&gt;=#REF!),
                        INDEX(#REF!,MATCH(MID($C$107,4,2),{"04","06"},0)),
                        "NOT IN DTM RANGE")))),
        "MUST BE 06 OR 04"),
    IF(LEFT($C$107,2)="DT",
        IF(OR(MID($C$107,3,2)="06",MID($C$107,3,2)="04"),
            IF($D114="Plug",#REF!,
                IF($D114="Key",#REF!,
                    IF(AND($D114&lt;=#REF!,$D114&gt;=#REF!),
                        INDEX(#REF!,MATCH(MID($C$107,3,2),{"04","06"},0)),
                        IF(AND($D114&lt;=#REF!,$D114&gt;=#REF!),
                            INDEX(#REF!,MATCH(MID($C$107,3,2),{"04","06"},0)),
                            "NOT IN DT RANGE")))),
            "MUST BE 06 OR 04"),
        "OTHER THAN DTM OR DT"))</f>
        <v>#REF!</v>
      </c>
      <c r="D114" s="13">
        <f t="shared" ref="D114:D116" si="30">_xlfn.XLOOKUP($G114,$N$5:$N$116,$R$5:$R$116)</f>
        <v>18</v>
      </c>
      <c r="E114" s="13" t="str">
        <f t="shared" ref="E114:E116" si="31">_xlfn.XLOOKUP($G114,$N$5:$N$116,$S$5:$S$116)</f>
        <v>BLACK</v>
      </c>
      <c r="F114" s="48" t="str">
        <f>_xlfn.TEXTJOIN(" / ", TRUE,_xlfn.XLOOKUP($G114,$N$5:$N$116,$O$5:$O$116), _xlfn.XLOOKUP($G114,$N$5:$N$116,$P$5:$P$116))</f>
        <v>P2-C4 / P2-C8</v>
      </c>
      <c r="G114" s="36" t="s">
        <v>263</v>
      </c>
      <c r="H114" s="13">
        <f>_xlfn.XLOOKUP($G114,$N$5:$N$116,$M$5:$M$116)</f>
        <v>3.7142857142857144</v>
      </c>
      <c r="I114" s="13" t="str">
        <f t="shared" ref="I114:I116" si="32">_xlfn.XLOOKUP($G114,$N$5:$N$116,$Q$5:$Q$116)</f>
        <v>Starter Relay Coil Exit - GND thru ns diode</v>
      </c>
      <c r="M114" s="19">
        <f>M113</f>
        <v>2</v>
      </c>
      <c r="N114" s="25" t="s">
        <v>315</v>
      </c>
      <c r="O114" s="4" t="s">
        <v>552</v>
      </c>
      <c r="P114" s="4" t="s">
        <v>549</v>
      </c>
      <c r="Q114" s="4" t="s">
        <v>548</v>
      </c>
      <c r="R114" s="5">
        <v>20</v>
      </c>
      <c r="S114" s="4" t="s">
        <v>66</v>
      </c>
      <c r="T114" s="5">
        <v>600</v>
      </c>
    </row>
    <row r="115" spans="2:21" ht="12.75" x14ac:dyDescent="0.2">
      <c r="B115" s="14">
        <v>3</v>
      </c>
      <c r="C115" s="13" t="e">
        <f>IF(LEFT($C$107,3)="DTM",
    IF(OR(MID($C$107,4,2)="06",MID($C$107,4,2)="04"),
        IF($D115="Plug",#REF!,
            IF($D115="Key",#REF!,
                IF(AND($D115&lt;=#REF!,$D115&gt;=#REF!),
                    INDEX(#REF!,MATCH(MID($C$107,4,2),{"04","06"},0)),
                    IF(AND($D115&lt;=#REF!,$D115&gt;=#REF!),
                        INDEX(#REF!,MATCH(MID($C$107,4,2),{"04","06"},0)),
                        "NOT IN DTM RANGE")))),
        "MUST BE 06 OR 04"),
    IF(LEFT($C$107,2)="DT",
        IF(OR(MID($C$107,3,2)="06",MID($C$107,3,2)="04"),
            IF($D115="Plug",#REF!,
                IF($D115="Key",#REF!,
                    IF(AND($D115&lt;=#REF!,$D115&gt;=#REF!),
                        INDEX(#REF!,MATCH(MID($C$107,3,2),{"04","06"},0)),
                        IF(AND($D115&lt;=#REF!,$D115&gt;=#REF!),
                            INDEX(#REF!,MATCH(MID($C$107,3,2),{"04","06"},0)),
                            "NOT IN DT RANGE")))),
            "MUST BE 06 OR 04"),
        "OTHER THAN DTM OR DT"))</f>
        <v>#REF!</v>
      </c>
      <c r="D115" s="13">
        <f t="shared" si="30"/>
        <v>18</v>
      </c>
      <c r="E115" s="13" t="str">
        <f t="shared" si="31"/>
        <v>BLACK</v>
      </c>
      <c r="F115" s="48" t="str">
        <f>_xlfn.TEXTJOIN(" / ", TRUE,_xlfn.XLOOKUP($G115,$N$5:$N$116,$O$5:$O$116), _xlfn.XLOOKUP($G115,$N$5:$N$116,$P$5:$P$116))</f>
        <v>P5-C4 / P3-C8</v>
      </c>
      <c r="G115" s="36" t="s">
        <v>262</v>
      </c>
      <c r="H115" s="13">
        <f t="shared" ref="H115:H116" si="33">_xlfn.XLOOKUP($G115,$N$5:$N$116,$M$5:$M$116)</f>
        <v>1.4999999999999999E-2</v>
      </c>
      <c r="I115" s="13" t="str">
        <f t="shared" si="32"/>
        <v>Neutral Light LED GND Path - thru NS Diode</v>
      </c>
      <c r="M115" s="19">
        <f>M112</f>
        <v>2</v>
      </c>
      <c r="N115" s="25" t="s">
        <v>316</v>
      </c>
      <c r="O115" s="4" t="s">
        <v>553</v>
      </c>
      <c r="P115" s="4" t="s">
        <v>554</v>
      </c>
      <c r="Q115" s="4" t="s">
        <v>550</v>
      </c>
      <c r="R115" s="5">
        <v>20</v>
      </c>
      <c r="S115" s="4" t="s">
        <v>602</v>
      </c>
      <c r="T115" s="5">
        <v>600</v>
      </c>
    </row>
    <row r="116" spans="2:21" ht="13.5" thickBot="1" x14ac:dyDescent="0.25">
      <c r="B116" s="49">
        <v>4</v>
      </c>
      <c r="C116" s="16" t="e">
        <f>IF(LEFT($C$107,3)="DTM",
    IF(OR(MID($C$107,4,2)="06",MID($C$107,4,2)="04"),
        IF($D116="Plug",#REF!,
            IF($D116="Key",#REF!,
                IF(AND($D116&lt;=#REF!,$D116&gt;=#REF!),
                    INDEX(#REF!,MATCH(MID($C$107,4,2),{"04","06"},0)),
                    IF(AND($D116&lt;=#REF!,$D116&gt;=#REF!),
                        INDEX(#REF!,MATCH(MID($C$107,4,2),{"04","06"},0)),
                        "NOT IN DTM RANGE")))),
        "MUST BE 06 OR 04"),
    IF(LEFT($C$107,2)="DT",
        IF(OR(MID($C$107,3,2)="06",MID($C$107,3,2)="04"),
            IF($D116="Plug",#REF!,
                IF($D116="Key",#REF!,
                    IF(AND($D116&lt;=#REF!,$D116&gt;=#REF!),
                        INDEX(#REF!,MATCH(MID($C$107,3,2),{"04","06"},0)),
                        IF(AND($D116&lt;=#REF!,$D116&gt;=#REF!),
                            INDEX(#REF!,MATCH(MID($C$107,3,2),{"04","06"},0)),
                            "NOT IN DT RANGE")))),
            "MUST BE 06 OR 04"),
        "OTHER THAN DTM OR DT"))</f>
        <v>#REF!</v>
      </c>
      <c r="D116" s="16">
        <f t="shared" si="30"/>
        <v>18</v>
      </c>
      <c r="E116" s="16" t="str">
        <f t="shared" si="31"/>
        <v>BLACK</v>
      </c>
      <c r="F116" s="50" t="str">
        <f>_xlfn.TEXTJOIN(" / ", TRUE,_xlfn.XLOOKUP($G116,$N$5:$N$116,$O$5:$O$116), _xlfn.XLOOKUP($G116,$N$5:$N$116,$P$5:$P$116))</f>
        <v>P4-C8 / P4-C3</v>
      </c>
      <c r="G116" s="36" t="s">
        <v>264</v>
      </c>
      <c r="H116" s="13">
        <f t="shared" si="33"/>
        <v>3.7292857142857145</v>
      </c>
      <c r="I116" s="13" t="str">
        <f t="shared" si="32"/>
        <v>D1-D2 GND Path thru Neutral Switch</v>
      </c>
      <c r="M116" s="19">
        <f>M69</f>
        <v>0.15</v>
      </c>
      <c r="N116" s="25" t="s">
        <v>551</v>
      </c>
      <c r="O116" s="4" t="s">
        <v>555</v>
      </c>
      <c r="P116" s="4" t="s">
        <v>557</v>
      </c>
      <c r="Q116" s="4" t="s">
        <v>556</v>
      </c>
      <c r="R116" s="5">
        <v>20</v>
      </c>
      <c r="S116" s="4" t="s">
        <v>62</v>
      </c>
      <c r="T116" s="5">
        <v>600</v>
      </c>
      <c r="U116" s="8"/>
    </row>
    <row r="117" spans="2:21" ht="15.75" customHeight="1" x14ac:dyDescent="0.2">
      <c r="N117" s="22"/>
      <c r="O117" s="128"/>
      <c r="P117" s="128"/>
      <c r="R117" s="5"/>
      <c r="S117" s="5"/>
      <c r="U117" s="8"/>
    </row>
    <row r="118" spans="2:21" ht="15.75" customHeight="1" thickBot="1" x14ac:dyDescent="0.25">
      <c r="N118" s="22"/>
      <c r="O118" t="s">
        <v>47</v>
      </c>
      <c r="P118" s="5"/>
      <c r="R118" s="129" t="s">
        <v>23</v>
      </c>
      <c r="S118" s="129"/>
      <c r="T118" s="129"/>
      <c r="U118" s="8"/>
    </row>
    <row r="119" spans="2:21" ht="24" thickBot="1" x14ac:dyDescent="0.4">
      <c r="B119" s="38" t="str">
        <f>_xlfn.XLOOKUP(C119,$N$145:$N$196,$M$145:$M$196)</f>
        <v>DIODE-SS</v>
      </c>
      <c r="C119" s="39" t="s">
        <v>610</v>
      </c>
      <c r="D119" s="40"/>
      <c r="E119" s="41"/>
      <c r="F119" s="42" t="str">
        <f>_xlfn.XLOOKUP(C119,$N$145:$N$196,$O$145:$O$196)</f>
        <v>Diode Pack - Nuetral Switch (Harness)</v>
      </c>
      <c r="N119" s="24" t="s">
        <v>10</v>
      </c>
      <c r="O119" s="126" t="s">
        <v>105</v>
      </c>
      <c r="P119" s="126"/>
      <c r="Q119" s="7" t="s">
        <v>18</v>
      </c>
      <c r="R119" s="126" t="s">
        <v>22</v>
      </c>
      <c r="S119" s="126"/>
      <c r="T119" s="7" t="s">
        <v>38</v>
      </c>
      <c r="U119" s="7" t="s">
        <v>622</v>
      </c>
    </row>
    <row r="120" spans="2:21" ht="12.75" x14ac:dyDescent="0.2">
      <c r="B120" s="43" t="s">
        <v>0</v>
      </c>
      <c r="C120" s="11" t="str">
        <f>_xlfn.XLOOKUP(C119,$N$145:$N$196,$R$145:$R$196)</f>
        <v>DT06-4S</v>
      </c>
      <c r="D120" s="37"/>
      <c r="E120" s="37"/>
      <c r="F120" s="44"/>
      <c r="N120" s="25" t="s">
        <v>104</v>
      </c>
      <c r="O120" s="133" t="e" cm="1">
        <f t="array" ref="O120">SUM(IF($O$5:$O$116=$N120,VLOOKUP($R$5:$R$116,#REF!,7,FALSE),0))+SUM(IF($P$5:$P$116=$N120,VLOOKUP($R$5:$R$116,#REF!,7,FALSE),0))</f>
        <v>#REF!</v>
      </c>
      <c r="P120" s="133"/>
      <c r="Q120" s="4" t="s">
        <v>625</v>
      </c>
      <c r="R120" s="134" t="str" cm="1">
        <f t="array" ref="R120">_xlfn.TEXTJOIN(",",TRUE,IF($O$5:$O$116=$N120,$N$5:$N$116,""))&amp;IF(AND(COUNTIF($O$5:$O$116,$N120)&gt;0,COUNTIF($P$5:$P$116,$N120)&gt;0),",","")&amp;_xlfn.TEXTJOIN(",",TRUE,IF($P$5:$P$116=$N120,$N$5:$N$116,""))</f>
        <v>L.10.14,L.10.15,L.10.16,L.10.13</v>
      </c>
      <c r="S120" s="134"/>
      <c r="T120" s="10" t="s">
        <v>337</v>
      </c>
      <c r="U120" s="9" t="s">
        <v>623</v>
      </c>
    </row>
    <row r="121" spans="2:21" ht="15.75" customHeight="1" x14ac:dyDescent="0.2">
      <c r="B121" s="43" t="s">
        <v>1</v>
      </c>
      <c r="C121" s="45" t="s">
        <v>2</v>
      </c>
      <c r="D121" s="11"/>
      <c r="E121" s="11"/>
      <c r="F121" s="44"/>
      <c r="N121" s="25" t="s">
        <v>106</v>
      </c>
      <c r="O121" s="133" t="e" cm="1">
        <f t="array" ref="O121">SUM(IF($O$5:$O$116=$N121,VLOOKUP($R$5:$R$116,#REF!,7,FALSE),0))+SUM(IF($P$5:$P$116=$N121,VLOOKUP($R$5:$R$116,#REF!,7,FALSE),0))</f>
        <v>#REF!</v>
      </c>
      <c r="P121" s="133"/>
      <c r="Q121" s="4" t="s">
        <v>626</v>
      </c>
      <c r="R121" s="134" t="str" cm="1">
        <f t="array" ref="R121">_xlfn.TEXTJOIN(",",TRUE,IF($O$5:$O$116=$N121,$N$5:$N$116,""))&amp;IF(AND(COUNTIF($O$5:$O$116,$N121)&gt;0,COUNTIF($P$5:$P$116,$N121)&gt;0),",","")&amp;_xlfn.TEXTJOIN(",",TRUE,IF($P$5:$P$116=$N121,$N$5:$N$116,""))</f>
        <v>L.10.18,L.10.19,L.10.17</v>
      </c>
      <c r="S121" s="134"/>
      <c r="T121" s="10" t="s">
        <v>348</v>
      </c>
      <c r="U121" s="9" t="s">
        <v>624</v>
      </c>
    </row>
    <row r="122" spans="2:21" ht="15.75" customHeight="1" x14ac:dyDescent="0.2">
      <c r="B122" s="43" t="s">
        <v>3</v>
      </c>
      <c r="C122" s="30" t="str">
        <f>IF(_xlfn.XLOOKUP(C119,$N$145:$N$196,$T$145:$T$196,)=0,"", _xlfn.XLOOKUP(C119,$N$145:$N$196,$T$145:$T$196,))</f>
        <v/>
      </c>
      <c r="D122" s="46"/>
      <c r="E122" s="1"/>
      <c r="F122" s="44"/>
      <c r="N122" s="25" t="s">
        <v>127</v>
      </c>
      <c r="O122" s="133" t="e" cm="1">
        <f t="array" ref="O122">SUM(IF($O$5:$O$116=$N122,VLOOKUP($R$5:$R$116,#REF!,7,FALSE),0))+SUM(IF($P$5:$P$116=$N122,VLOOKUP($R$5:$R$116,#REF!,7,FALSE),0))</f>
        <v>#REF!</v>
      </c>
      <c r="P122" s="133"/>
      <c r="Q122" s="4" t="s">
        <v>626</v>
      </c>
      <c r="R122" s="134" t="str" cm="1">
        <f t="array" ref="R122">_xlfn.TEXTJOIN(",",TRUE,IF($O$5:$O$116=$N122,$N$5:$N$116,""))&amp;IF(AND(COUNTIF($O$5:$O$116,$N122)&gt;0,COUNTIF($P$5:$P$116,$N122)&gt;0),",","")&amp;_xlfn.TEXTJOIN(",",TRUE,IF($P$5:$P$116=$N122,$N$5:$N$116,""))</f>
        <v>L.10.21,L.10.22,L.10.20</v>
      </c>
      <c r="S122" s="134"/>
      <c r="T122" s="4" t="s">
        <v>354</v>
      </c>
      <c r="U122" s="9" t="s">
        <v>628</v>
      </c>
    </row>
    <row r="123" spans="2:21" ht="15.75" customHeight="1" x14ac:dyDescent="0.2">
      <c r="B123" s="47"/>
      <c r="C123" s="1"/>
      <c r="D123" s="1"/>
      <c r="E123" s="1"/>
      <c r="F123" s="44"/>
      <c r="L123" s="68"/>
      <c r="M123" s="68"/>
      <c r="N123" s="25"/>
      <c r="O123" s="133"/>
      <c r="P123" s="133"/>
      <c r="Q123" s="4"/>
      <c r="R123" s="134"/>
      <c r="S123" s="134"/>
      <c r="T123" s="4"/>
      <c r="U123" s="8"/>
    </row>
    <row r="124" spans="2:21" ht="12.75" x14ac:dyDescent="0.2">
      <c r="B124" s="47"/>
      <c r="C124" s="1"/>
      <c r="D124" s="1"/>
      <c r="E124" s="1"/>
      <c r="F124" s="44"/>
      <c r="L124" s="68"/>
      <c r="M124" s="68"/>
      <c r="N124" s="25"/>
      <c r="O124" s="133"/>
      <c r="P124" s="133"/>
      <c r="Q124" s="4"/>
      <c r="R124" s="134"/>
      <c r="S124" s="134"/>
      <c r="T124" s="4"/>
      <c r="U124" s="8"/>
    </row>
    <row r="125" spans="2:21" ht="15.75" customHeight="1" thickBot="1" x14ac:dyDescent="0.25">
      <c r="B125" s="72" t="s">
        <v>4</v>
      </c>
      <c r="C125" s="73" t="s">
        <v>85</v>
      </c>
      <c r="D125" s="73" t="s">
        <v>83</v>
      </c>
      <c r="E125" s="73" t="s">
        <v>84</v>
      </c>
      <c r="F125" s="74" t="s">
        <v>86</v>
      </c>
      <c r="G125" s="84" t="s">
        <v>11</v>
      </c>
      <c r="H125" s="85" t="s">
        <v>581</v>
      </c>
      <c r="I125" s="85" t="s">
        <v>90</v>
      </c>
      <c r="L125" s="68"/>
      <c r="M125" s="68"/>
      <c r="N125" s="25" t="s">
        <v>128</v>
      </c>
      <c r="O125" s="133" t="e" cm="1">
        <f t="array" ref="O125">SUM(IF($O$5:$O$116=$N125,VLOOKUP($R$5:$R$116,#REF!,7,FALSE),0))+SUM(IF($P$5:$P$116=$N125,VLOOKUP($R$5:$R$116,#REF!,7,FALSE),0))</f>
        <v>#REF!</v>
      </c>
      <c r="P125" s="133"/>
      <c r="Q125" s="4" t="s">
        <v>626</v>
      </c>
      <c r="R125" s="134" t="str" cm="1">
        <f t="array" ref="R125">_xlfn.TEXTJOIN(",",TRUE,IF($O$5:$O$116=$N125,$N$5:$N$116,""))&amp;IF(AND(COUNTIF($O$5:$O$116,$N125)&gt;0,COUNTIF($P$5:$P$116,$N125)&gt;0),",","")&amp;_xlfn.TEXTJOIN(",",TRUE,IF($P$5:$P$116=$N125,$N$5:$N$116,""))</f>
        <v>L.10.29,L.10.30,L.10.28</v>
      </c>
      <c r="S125" s="134"/>
      <c r="T125" s="10" t="s">
        <v>368</v>
      </c>
      <c r="U125" s="9" t="s">
        <v>629</v>
      </c>
    </row>
    <row r="126" spans="2:21" ht="15.75" customHeight="1" x14ac:dyDescent="0.2">
      <c r="B126" s="77">
        <v>1</v>
      </c>
      <c r="C126" s="69" t="e">
        <f>IF(LEFT($C$120,3)="DTM",
    IF(OR(MID($C$120,4,2)="06",MID($C$120,4,2)="04"),
        IF($D126="Plug",#REF!,
            IF($D126="Key",#REF!,
                IF(AND($D126&lt;=#REF!,$D126&gt;=#REF!),
                    INDEX(#REF!,MATCH(MID($C$120,4,2),{"04","06"},0)),
                    IF(AND($D126&lt;=#REF!,$D126&gt;=#REF!),
                        INDEX(#REF!,MATCH(MID($C$120,4,2),{"04","06"},0)),
                        "NOT IN DTM RANGE")))),
        "MUST BE 06 OR 04"),
    IF(LEFT($C$120,2)="DT",
        IF(OR(MID($C$120,3,2)="06",MID($C$120,3,2)="04"),
            IF($D126="Plug",#REF!,
                IF($D126="Key",#REF!,
                    IF(AND($D126&lt;=#REF!,$D126&gt;=#REF!),
                        INDEX(#REF!,MATCH(MID($C$120,3,2),{"04","06"},0)),
                        IF(AND($D126&lt;=#REF!,$D126&gt;=#REF!),
                            INDEX(#REF!,MATCH(MID($C$120,3,2),{"04","06"},0)),
                            "NOT IN DT RANGE")))),
            "MUST BE 06 OR 04"),
        "OTHER THAN DTM OR DT"))</f>
        <v>#REF!</v>
      </c>
      <c r="D126" s="69" t="s">
        <v>619</v>
      </c>
      <c r="E126" s="69"/>
      <c r="F126" s="78"/>
      <c r="G126" s="36" t="s">
        <v>92</v>
      </c>
      <c r="H126" s="13"/>
      <c r="I126" s="13"/>
      <c r="L126" s="68"/>
      <c r="M126" s="68"/>
      <c r="N126" s="25" t="s">
        <v>129</v>
      </c>
      <c r="O126" s="133" t="e" cm="1">
        <f t="array" ref="O126">SUM(IF($O$5:$O$116=$N126,VLOOKUP($R$5:$R$116,#REF!,7,FALSE),0))+SUM(IF($P$5:$P$116=$N126,VLOOKUP($R$5:$R$116,#REF!,7,FALSE),0))</f>
        <v>#REF!</v>
      </c>
      <c r="P126" s="133"/>
      <c r="Q126" s="4" t="s">
        <v>626</v>
      </c>
      <c r="R126" s="134" t="str" cm="1">
        <f t="array" ref="R126">_xlfn.TEXTJOIN(",",TRUE,IF($O$5:$O$116=$N126,$N$5:$N$116,""))&amp;IF(AND(COUNTIF($O$5:$O$116,$N126)&gt;0,COUNTIF($P$5:$P$116,$N126)&gt;0),",","")&amp;_xlfn.TEXTJOIN(",",TRUE,IF($P$5:$P$116=$N126,$N$5:$N$116,""))</f>
        <v>L.10.33,L.10.34,L.10.32</v>
      </c>
      <c r="S126" s="134"/>
      <c r="T126" s="10" t="s">
        <v>379</v>
      </c>
      <c r="U126" s="9" t="s">
        <v>630</v>
      </c>
    </row>
    <row r="127" spans="2:21" ht="15.75" customHeight="1" x14ac:dyDescent="0.2">
      <c r="B127" s="14">
        <v>2</v>
      </c>
      <c r="C127" s="13" t="e">
        <f>IF(LEFT($C$120,3)="DTM",
    IF(OR(MID($C$120,4,2)="06",MID($C$120,4,2)="04"),
        IF($D127="Plug",#REF!,
            IF($D127="Key",#REF!,
                IF(AND($D127&lt;=#REF!,$D127&gt;=#REF!),
                    INDEX(#REF!,MATCH(MID($C$120,4,2),{"04","06"},0)),
                    IF(AND($D127&lt;=#REF!,$D127&gt;=#REF!),
                        INDEX(#REF!,MATCH(MID($C$120,4,2),{"04","06"},0)),
                        "NOT IN DTM RANGE")))),
        "MUST BE 06 OR 04"),
    IF(LEFT($C$120,2)="DT",
        IF(OR(MID($C$120,3,2)="06",MID($C$120,3,2)="04"),
            IF($D127="Plug",#REF!,
                IF($D127="Key",#REF!,
                    IF(AND($D127&lt;=#REF!,$D127&gt;=#REF!),
                        INDEX(#REF!,MATCH(MID($C$120,3,2),{"04","06"},0)),
                        IF(AND($D127&lt;=#REF!,$D127&gt;=#REF!),
                            INDEX(#REF!,MATCH(MID($C$120,3,2),{"04","06"},0)),
                            "NOT IN DT RANGE")))),
            "MUST BE 06 OR 04"),
        "OTHER THAN DTM OR DT"))</f>
        <v>#REF!</v>
      </c>
      <c r="D127" s="13">
        <f t="shared" ref="D127:D129" si="34">_xlfn.XLOOKUP($G127,$N$5:$N$116,$R$5:$R$116)</f>
        <v>18</v>
      </c>
      <c r="E127" s="13" t="str">
        <f t="shared" ref="E127:E129" si="35">_xlfn.XLOOKUP($G127,$N$5:$N$116,$S$5:$S$116)</f>
        <v>BLACK</v>
      </c>
      <c r="F127" s="48" t="str">
        <f>_xlfn.TEXTJOIN(" / ", TRUE,_xlfn.XLOOKUP($G127,$N$5:$N$116,$O$5:$O$116), _xlfn.XLOOKUP($G127,$N$5:$N$116,$P$5:$P$116))</f>
        <v>P2-C10 / P4-C4</v>
      </c>
      <c r="G127" s="36" t="s">
        <v>259</v>
      </c>
      <c r="H127" s="13">
        <f>_xlfn.XLOOKUP($G127,$N$5:$N$116,$M$5:$M$116)</f>
        <v>1.4999999999999999E-2</v>
      </c>
      <c r="I127" s="13" t="str">
        <f t="shared" ref="I127:I129" si="36">_xlfn.XLOOKUP($G127,$N$5:$N$116,$Q$5:$Q$116)</f>
        <v>SS Down LED GND - thru SS Diode</v>
      </c>
      <c r="N127" s="25" t="s">
        <v>130</v>
      </c>
      <c r="O127" s="133" t="e" cm="1">
        <f t="array" ref="O127">SUM(IF($O$5:$O$116=$N127,VLOOKUP($R$5:$R$116,#REF!,7,FALSE),0))+SUM(IF($P$5:$P$116=$N127,VLOOKUP($R$5:$R$116,#REF!,7,FALSE),0))</f>
        <v>#REF!</v>
      </c>
      <c r="P127" s="133"/>
      <c r="Q127" s="4" t="s">
        <v>625</v>
      </c>
      <c r="R127" s="134" t="str" cm="1">
        <f t="array" ref="R127">_xlfn.TEXTJOIN(",",TRUE,IF($O$5:$O$116=$N127,$N$5:$N$116,""))&amp;IF(AND(COUNTIF($O$5:$O$116,$N127)&gt;0,COUNTIF($P$5:$P$116,$N127)&gt;0),",","")&amp;_xlfn.TEXTJOIN(",",TRUE,IF($P$5:$P$116=$N127,$N$5:$N$116,""))</f>
        <v>L.10.36,L.10.37,L.10.38,L.10.35</v>
      </c>
      <c r="S127" s="134"/>
      <c r="T127" s="6" t="s">
        <v>455</v>
      </c>
      <c r="U127" s="9" t="s">
        <v>631</v>
      </c>
    </row>
    <row r="128" spans="2:21" ht="15.75" customHeight="1" x14ac:dyDescent="0.2">
      <c r="B128" s="14">
        <v>3</v>
      </c>
      <c r="C128" s="13" t="e">
        <f>IF(LEFT($C$120,3)="DTM",
    IF(OR(MID($C$120,4,2)="06",MID($C$120,4,2)="04"),
        IF($D128="Plug",#REF!,
            IF($D128="Key",#REF!,
                IF(AND($D128&lt;=#REF!,$D128&gt;=#REF!),
                    INDEX(#REF!,MATCH(MID($C$120,4,2),{"04","06"},0)),
                    IF(AND($D128&lt;=#REF!,$D128&gt;=#REF!),
                        INDEX(#REF!,MATCH(MID($C$120,4,2),{"04","06"},0)),
                        "NOT IN DTM RANGE")))),
        "MUST BE 06 OR 04"),
    IF(LEFT($C$120,2)="DT",
        IF(OR(MID($C$120,3,2)="06",MID($C$120,3,2)="04"),
            IF($D128="Plug",#REF!,
                IF($D128="Key",#REF!,
                    IF(AND($D128&lt;=#REF!,$D128&gt;=#REF!),
                        INDEX(#REF!,MATCH(MID($C$120,3,2),{"04","06"},0)),
                        IF(AND($D128&lt;=#REF!,$D128&gt;=#REF!),
                            INDEX(#REF!,MATCH(MID($C$120,3,2),{"04","06"},0)),
                            "NOT IN DT RANGE")))),
            "MUST BE 06 OR 04"),
        "OTHER THAN DTM OR DT"))</f>
        <v>#REF!</v>
      </c>
      <c r="D128" s="13">
        <f t="shared" si="34"/>
        <v>18</v>
      </c>
      <c r="E128" s="13" t="str">
        <f t="shared" si="35"/>
        <v>BLACK</v>
      </c>
      <c r="F128" s="48" t="str">
        <f>_xlfn.TEXTJOIN(" / ", TRUE,_xlfn.XLOOKUP($G128,$N$5:$N$116,$O$5:$O$116), _xlfn.XLOOKUP($G128,$N$5:$N$116,$P$5:$P$116))</f>
        <v>P3-C10 / P3-C4</v>
      </c>
      <c r="G128" s="36" t="s">
        <v>260</v>
      </c>
      <c r="H128" s="13">
        <f t="shared" ref="H128:H129" si="37">_xlfn.XLOOKUP($G128,$N$5:$N$116,$M$5:$M$116)</f>
        <v>3.7142857142857144</v>
      </c>
      <c r="I128" s="13" t="str">
        <f t="shared" si="36"/>
        <v>Starter Relay Coil Exit - Thru clutch switch</v>
      </c>
      <c r="N128" s="25" t="s">
        <v>131</v>
      </c>
      <c r="O128" s="133" t="e" cm="1">
        <f t="array" ref="O128">SUM(IF($O$5:$O$116=$N128,VLOOKUP($R$5:$R$116,#REF!,7,FALSE),0))+SUM(IF($P$5:$P$116=$N128,VLOOKUP($R$5:$R$116,#REF!,7,FALSE),0))</f>
        <v>#REF!</v>
      </c>
      <c r="P128" s="133"/>
      <c r="Q128" s="4" t="s">
        <v>627</v>
      </c>
      <c r="R128" s="134" t="str" cm="1">
        <f t="array" ref="R128">_xlfn.TEXTJOIN(",",TRUE,IF($O$5:$O$116=$N128,$N$5:$N$116,""))&amp;IF(AND(COUNTIF($O$5:$O$116,$N128)&gt;0,COUNTIF($P$5:$P$116,$N128)&gt;0),",","")&amp;_xlfn.TEXTJOIN(",",TRUE,IF($P$5:$P$116=$N128,$N$5:$N$116,""))</f>
        <v>L.10.42,L.10.43,L.10.41</v>
      </c>
      <c r="S128" s="134"/>
      <c r="T128" s="10" t="s">
        <v>424</v>
      </c>
      <c r="U128" s="9" t="s">
        <v>632</v>
      </c>
    </row>
    <row r="129" spans="1:21" ht="13.5" thickBot="1" x14ac:dyDescent="0.25">
      <c r="B129" s="49">
        <v>4</v>
      </c>
      <c r="C129" s="16" t="e">
        <f>IF(LEFT($C$120,3)="DTM",
    IF(OR(MID($C$120,4,2)="06",MID($C$120,4,2)="04"),
        IF($D129="Plug",#REF!,
            IF($D129="Key",#REF!,
                IF(AND($D129&lt;=#REF!,$D129&gt;=#REF!),
                    INDEX(#REF!,MATCH(MID($C$120,4,2),{"04","06"},0)),
                    IF(AND($D129&lt;=#REF!,$D129&gt;=#REF!),
                        INDEX(#REF!,MATCH(MID($C$120,4,2),{"04","06"},0)),
                        "NOT IN DTM RANGE")))),
        "MUST BE 06 OR 04"),
    IF(LEFT($C$120,2)="DT",
        IF(OR(MID($C$120,3,2)="06",MID($C$120,3,2)="04"),
            IF($D129="Plug",#REF!,
                IF($D129="Key",#REF!,
                    IF(AND($D129&lt;=#REF!,$D129&gt;=#REF!),
                        INDEX(#REF!,MATCH(MID($C$120,3,2),{"04","06"},0)),
                        IF(AND($D129&lt;=#REF!,$D129&gt;=#REF!),
                            INDEX(#REF!,MATCH(MID($C$120,3,2),{"04","06"},0)),
                            "NOT IN DT RANGE")))),
            "MUST BE 06 OR 04"),
        "OTHER THAN DTM OR DT"))</f>
        <v>#REF!</v>
      </c>
      <c r="D129" s="16">
        <f t="shared" si="34"/>
        <v>18</v>
      </c>
      <c r="E129" s="16" t="str">
        <f t="shared" si="35"/>
        <v>BLACK</v>
      </c>
      <c r="F129" s="50" t="str">
        <f>_xlfn.TEXTJOIN(" / ", TRUE,_xlfn.XLOOKUP($G129,$N$5:$N$116,$O$5:$O$116), _xlfn.XLOOKUP($G129,$N$5:$N$116,$P$5:$P$116))</f>
        <v>P4-C10 / P5-C3</v>
      </c>
      <c r="G129" s="36" t="s">
        <v>261</v>
      </c>
      <c r="H129" s="13">
        <f t="shared" si="37"/>
        <v>3.7292857142857145</v>
      </c>
      <c r="I129" s="13" t="str">
        <f t="shared" si="36"/>
        <v>D3-D4 GND Path thru SS Switch</v>
      </c>
      <c r="N129" s="25"/>
      <c r="O129" s="133"/>
      <c r="P129" s="133"/>
      <c r="Q129" s="4"/>
      <c r="R129" s="134"/>
      <c r="S129" s="134"/>
      <c r="T129" s="6"/>
      <c r="U129" s="8"/>
    </row>
    <row r="130" spans="1:21" ht="15.75" customHeight="1" x14ac:dyDescent="0.2">
      <c r="N130" s="25"/>
      <c r="O130" s="133"/>
      <c r="P130" s="133"/>
      <c r="Q130" s="4"/>
      <c r="R130" s="134"/>
      <c r="S130" s="134"/>
      <c r="T130" s="6"/>
      <c r="U130" s="8"/>
    </row>
    <row r="131" spans="1:21" ht="32.25" customHeight="1" x14ac:dyDescent="0.25">
      <c r="B131" s="118" t="s">
        <v>620</v>
      </c>
      <c r="N131" s="76" t="s">
        <v>132</v>
      </c>
      <c r="O131" s="140" t="e" cm="1">
        <f t="array" ref="O131">SUM(IF($O$5:$O$116=$N131,VLOOKUP($R$5:$R$116,#REF!,7,FALSE),0))+SUM(IF($P$5:$P$116=$N131,VLOOKUP($R$5:$R$116,#REF!,7,FALSE),0))</f>
        <v>#REF!</v>
      </c>
      <c r="P131" s="140"/>
      <c r="Q131" s="55" t="s">
        <v>626</v>
      </c>
      <c r="R131" s="141" t="str" cm="1">
        <f t="array" ref="R131">_xlfn.TEXTJOIN(",",TRUE,IF($O$5:$O$116=$N131,$N$5:$N$116,""))&amp;IF(AND(COUNTIF($O$5:$O$116,$N131)&gt;0,COUNTIF($P$5:$P$116,$N131)&gt;0),",","")&amp;_xlfn.TEXTJOIN(",",TRUE,IF($P$5:$P$116=$N131,$N$5:$N$116,""))</f>
        <v>L.10.66,L.10.60,L.10.61,L.10.62,L.10.63,L.10.64,L.10.65</v>
      </c>
      <c r="S131" s="141"/>
      <c r="T131" s="103" t="s">
        <v>432</v>
      </c>
      <c r="U131" s="8" t="s">
        <v>637</v>
      </c>
    </row>
    <row r="132" spans="1:21" ht="15.75" customHeight="1" x14ac:dyDescent="0.2">
      <c r="N132" s="25" t="s">
        <v>133</v>
      </c>
      <c r="O132" s="133" t="e" cm="1">
        <f t="array" ref="O132">SUM(IF($O$5:$O$116=$N132,VLOOKUP($R$5:$R$116,#REF!,7,FALSE),0))+SUM(IF($P$5:$P$116=$N132,VLOOKUP($R$5:$R$116,#REF!,7,FALSE),0))</f>
        <v>#REF!</v>
      </c>
      <c r="P132" s="133"/>
      <c r="Q132" s="4" t="s">
        <v>627</v>
      </c>
      <c r="R132" s="134" t="str" cm="1">
        <f t="array" ref="R132">_xlfn.TEXTJOIN(",",TRUE,IF($O$5:$O$116=$N132,$N$5:$N$116,""))&amp;IF(AND(COUNTIF($O$5:$O$116,$N132)&gt;0,COUNTIF($P$5:$P$116,$N132)&gt;0),",","")&amp;_xlfn.TEXTJOIN(",",TRUE,IF($P$5:$P$116=$N132,$N$5:$N$116,""))</f>
        <v>L.10.68,L.10.69,L.10.70,L.10.67</v>
      </c>
      <c r="S132" s="134"/>
      <c r="T132" s="10" t="s">
        <v>446</v>
      </c>
      <c r="U132" s="8" t="s">
        <v>638</v>
      </c>
    </row>
    <row r="133" spans="1:21" ht="15.75" customHeight="1" x14ac:dyDescent="0.2">
      <c r="N133" s="25" t="s">
        <v>134</v>
      </c>
      <c r="O133" s="133" t="e" cm="1">
        <f t="array" ref="O133">SUM(IF($O$5:$O$116=$N133,VLOOKUP($R$5:$R$116,#REF!,7,FALSE),0))+SUM(IF($P$5:$P$116=$N133,VLOOKUP($R$5:$R$116,#REF!,7,FALSE),0))</f>
        <v>#REF!</v>
      </c>
      <c r="P133" s="133"/>
      <c r="Q133" s="4" t="s">
        <v>625</v>
      </c>
      <c r="R133" s="134" t="str" cm="1">
        <f t="array" ref="R133">_xlfn.TEXTJOIN(",",TRUE,IF($O$5:$O$116=$N133,$N$5:$N$116,""))&amp;IF(AND(COUNTIF($O$5:$O$116,$N133)&gt;0,COUNTIF($P$5:$P$116,$N133)&gt;0),",","")&amp;_xlfn.TEXTJOIN(",",TRUE,IF($P$5:$P$116=$N133,$N$5:$N$116,""))</f>
        <v>L.10.72,L.10.73,L.10.74,L.10.75,L.10.71</v>
      </c>
      <c r="S133" s="134"/>
      <c r="T133" s="6" t="s">
        <v>457</v>
      </c>
      <c r="U133" s="8" t="s">
        <v>639</v>
      </c>
    </row>
    <row r="134" spans="1:21" ht="15.75" customHeight="1" x14ac:dyDescent="0.2">
      <c r="A134" s="87"/>
      <c r="B134" s="87"/>
      <c r="C134" s="87"/>
      <c r="D134" s="87"/>
      <c r="E134" s="87"/>
      <c r="F134" s="87"/>
      <c r="G134" s="87"/>
      <c r="H134" s="87"/>
      <c r="I134" s="87"/>
      <c r="N134" s="25" t="s">
        <v>135</v>
      </c>
      <c r="O134" s="133" t="e" cm="1">
        <f t="array" ref="O134">SUM(IF($O$5:$O$116=$N134,VLOOKUP($R$5:$R$116,#REF!,7,FALSE),0))+SUM(IF($P$5:$P$116=$N134,VLOOKUP($R$5:$R$116,#REF!,7,FALSE),0))</f>
        <v>#REF!</v>
      </c>
      <c r="P134" s="133"/>
      <c r="Q134" s="55" t="s">
        <v>626</v>
      </c>
      <c r="R134" s="134" t="str" cm="1">
        <f t="array" ref="R134">_xlfn.TEXTJOIN(",",TRUE,IF($O$5:$O$116=$N134,$N$5:$N$116,""))&amp;IF(AND(COUNTIF($O$5:$O$116,$N134)&gt;0,COUNTIF($P$5:$P$116,$N134)&gt;0),",","")&amp;_xlfn.TEXTJOIN(",",TRUE,IF($P$5:$P$116=$N134,$N$5:$N$116,""))</f>
        <v>L.10.77,L.10.78,L.10.76</v>
      </c>
      <c r="S134" s="134"/>
      <c r="T134" s="4" t="s">
        <v>467</v>
      </c>
      <c r="U134" s="8" t="s">
        <v>640</v>
      </c>
    </row>
    <row r="135" spans="1:21" ht="15.75" customHeight="1" x14ac:dyDescent="0.2">
      <c r="A135" s="87"/>
      <c r="B135" s="87"/>
      <c r="C135" s="87"/>
      <c r="D135" s="87"/>
      <c r="E135" s="87"/>
      <c r="F135" s="87"/>
      <c r="G135" s="87"/>
      <c r="H135" s="87"/>
      <c r="I135" s="87"/>
      <c r="N135" s="25" t="s">
        <v>136</v>
      </c>
      <c r="O135" s="133" t="e" cm="1">
        <f t="array" ref="O135">SUM(IF($O$5:$O$116=$N135,VLOOKUP($R$5:$R$116,#REF!,7,FALSE),0))+SUM(IF($P$5:$P$116=$N135,VLOOKUP($R$5:$R$116,#REF!,7,FALSE),0))</f>
        <v>#REF!</v>
      </c>
      <c r="P135" s="133"/>
      <c r="Q135" s="55" t="s">
        <v>626</v>
      </c>
      <c r="R135" s="134" t="str" cm="1">
        <f t="array" ref="R135">_xlfn.TEXTJOIN(",",TRUE,IF($O$5:$O$116=$N135,$N$5:$N$116,""))&amp;IF(AND(COUNTIF($O$5:$O$116,$N135)&gt;0,COUNTIF($P$5:$P$116,$N135)&gt;0),",","")&amp;_xlfn.TEXTJOIN(",",TRUE,IF($P$5:$P$116=$N135,$N$5:$N$116,""))</f>
        <v>L.10.85,L.10.86,L.10.87,L.10.84</v>
      </c>
      <c r="S135" s="134"/>
      <c r="T135" s="6" t="s">
        <v>482</v>
      </c>
      <c r="U135" s="8" t="s">
        <v>641</v>
      </c>
    </row>
    <row r="136" spans="1:21" ht="15.75" customHeight="1" x14ac:dyDescent="0.2">
      <c r="N136" s="25" t="s">
        <v>137</v>
      </c>
      <c r="O136" s="133" t="e" cm="1">
        <f t="array" ref="O136">SUM(IF($O$5:$O$116=$N136,VLOOKUP($R$5:$R$116,#REF!,7,FALSE),0))+SUM(IF($P$5:$P$116=$N136,VLOOKUP($R$5:$R$116,#REF!,7,FALSE),0))</f>
        <v>#REF!</v>
      </c>
      <c r="P136" s="133"/>
      <c r="Q136" s="55" t="s">
        <v>626</v>
      </c>
      <c r="R136" s="134" t="str" cm="1">
        <f t="array" ref="R136">_xlfn.TEXTJOIN(",",TRUE,IF($O$5:$O$116=$N136,$N$5:$N$116,""))&amp;IF(AND(COUNTIF($O$5:$O$116,$N136)&gt;0,COUNTIF($P$5:$P$116,$N136)&gt;0),",","")&amp;_xlfn.TEXTJOIN(",",TRUE,IF($P$5:$P$116=$N136,$N$5:$N$116,""))</f>
        <v>L.10.90,L.10.91,L.10.92,L.10.89</v>
      </c>
      <c r="S136" s="134"/>
      <c r="T136" s="6" t="s">
        <v>497</v>
      </c>
      <c r="U136" s="8" t="s">
        <v>642</v>
      </c>
    </row>
    <row r="137" spans="1:21" ht="15.75" customHeight="1" thickBot="1" x14ac:dyDescent="0.25">
      <c r="N137" s="25" t="s">
        <v>492</v>
      </c>
      <c r="O137" s="133" t="e" cm="1">
        <f t="array" ref="O137">SUM(IF($O$5:$O$116=$N137,VLOOKUP($R$5:$R$116,#REF!,7,FALSE),0))+SUM(IF($P$5:$P$116=$N137,VLOOKUP($R$5:$R$116,#REF!,7,FALSE),0))</f>
        <v>#REF!</v>
      </c>
      <c r="P137" s="133"/>
      <c r="Q137" s="4" t="s">
        <v>635</v>
      </c>
      <c r="R137" s="134" t="str" cm="1">
        <f t="array" ref="R137">_xlfn.TEXTJOIN(",",TRUE,IF($O$5:$O$116=$N137,$N$5:$N$116,""))&amp;IF(AND(COUNTIF($O$5:$O$116,$N137)&gt;0,COUNTIF($P$5:$P$116,$N137)&gt;0),",","")&amp;_xlfn.TEXTJOIN(",",TRUE,IF($P$5:$P$116=$N137,$N$5:$N$116,""))</f>
        <v>L.10.100,L.10.101,L.10.102</v>
      </c>
      <c r="S137" s="134"/>
      <c r="T137" s="6" t="s">
        <v>524</v>
      </c>
      <c r="U137" s="8" t="s">
        <v>643</v>
      </c>
    </row>
    <row r="138" spans="1:21" ht="15.75" customHeight="1" thickBot="1" x14ac:dyDescent="0.3">
      <c r="B138" s="93" t="s">
        <v>558</v>
      </c>
      <c r="C138" s="94"/>
      <c r="D138" s="95"/>
      <c r="E138" s="96"/>
      <c r="F138" s="97" t="str">
        <f>_xlfn.XLOOKUP(C139,$W$5:$W$29,$AA$5:$AA$29)</f>
        <v>Bank Angle (FI)</v>
      </c>
      <c r="N138" s="25" t="s">
        <v>493</v>
      </c>
      <c r="O138" s="133" t="e" cm="1">
        <f t="array" ref="O138">SUM(IF($O$5:$O$116=$N138,VLOOKUP($R$5:$R$116,#REF!,7,FALSE),0))+SUM(IF($P$5:$P$116=$N138,VLOOKUP($R$5:$R$116,#REF!,7,FALSE),0))</f>
        <v>#REF!</v>
      </c>
      <c r="P138" s="133"/>
      <c r="Q138" s="4" t="s">
        <v>636</v>
      </c>
      <c r="R138" s="134" t="str" cm="1">
        <f t="array" ref="R138">_xlfn.TEXTJOIN(",",TRUE,IF($O$5:$O$116=$N138,$N$5:$N$116,""))&amp;IF(AND(COUNTIF($O$5:$O$116,$N138)&gt;0,COUNTIF($P$5:$P$116,$N138)&gt;0),",","")&amp;_xlfn.TEXTJOIN(",",TRUE,IF($P$5:$P$116=$N138,$N$5:$N$116,""))</f>
        <v>L.10.108,L.10.109,L.10.107</v>
      </c>
      <c r="S138" s="134"/>
      <c r="T138" s="6" t="s">
        <v>541</v>
      </c>
      <c r="U138" s="8" t="s">
        <v>644</v>
      </c>
    </row>
    <row r="139" spans="1:21" ht="15.75" customHeight="1" x14ac:dyDescent="0.25">
      <c r="B139" s="91" t="s">
        <v>560</v>
      </c>
      <c r="C139" s="89">
        <f>VALUE(RIGHT(B138,LEN(B138)-3))</f>
        <v>1</v>
      </c>
      <c r="D139" s="99"/>
      <c r="E139" s="99"/>
      <c r="F139" s="44"/>
    </row>
    <row r="140" spans="1:21" ht="12.75" x14ac:dyDescent="0.2">
      <c r="B140" s="91" t="s">
        <v>559</v>
      </c>
      <c r="C140" s="90" t="str">
        <f>_xlfn.XLOOKUP(C139,$W$5:$W$29,$X$5:$X$29)</f>
        <v>SC: 108-1AH-D-R1</v>
      </c>
      <c r="D140" s="11"/>
      <c r="E140" s="11"/>
      <c r="F140" s="44"/>
    </row>
    <row r="141" spans="1:21" ht="15.75" customHeight="1" x14ac:dyDescent="0.2">
      <c r="B141" s="92" t="s">
        <v>3</v>
      </c>
      <c r="C141" s="116" t="str">
        <f>_xlfn.XLOOKUP(C139,$W$5:$W$29,$AC$5:$AC$29)</f>
        <v>Responsible to following power to: Injectors, Fuel Pump, Fans. (ffed their respective power relay coils)  Provides full power to Ignition</v>
      </c>
      <c r="D141" s="116"/>
      <c r="E141" s="116"/>
      <c r="F141" s="117"/>
    </row>
    <row r="142" spans="1:21" ht="15.75" customHeight="1" x14ac:dyDescent="0.2">
      <c r="B142" s="47"/>
      <c r="C142" s="116"/>
      <c r="D142" s="116"/>
      <c r="E142" s="116"/>
      <c r="F142" s="117"/>
    </row>
    <row r="143" spans="1:21" ht="15.75" customHeight="1" x14ac:dyDescent="0.2">
      <c r="B143" s="47"/>
      <c r="C143" s="116"/>
      <c r="D143" s="116"/>
      <c r="E143" s="116"/>
      <c r="F143" s="117"/>
      <c r="N143" s="25" t="s">
        <v>51</v>
      </c>
      <c r="O143" s="5"/>
      <c r="P143" s="5"/>
      <c r="R143" s="5"/>
      <c r="S143" s="5"/>
      <c r="U143" s="5"/>
    </row>
    <row r="144" spans="1:21" ht="15.75" customHeight="1" thickBot="1" x14ac:dyDescent="0.25">
      <c r="B144" s="84" t="s">
        <v>4</v>
      </c>
      <c r="C144" s="85" t="s">
        <v>11</v>
      </c>
      <c r="D144" s="85" t="s">
        <v>83</v>
      </c>
      <c r="E144" s="85" t="s">
        <v>84</v>
      </c>
      <c r="F144" s="86" t="s">
        <v>562</v>
      </c>
      <c r="G144" s="84" t="s">
        <v>11</v>
      </c>
      <c r="H144" s="85" t="s">
        <v>581</v>
      </c>
      <c r="I144" s="85" t="s">
        <v>90</v>
      </c>
      <c r="M144" s="52" t="s">
        <v>88</v>
      </c>
      <c r="N144" s="26" t="s">
        <v>10</v>
      </c>
      <c r="O144" s="135" t="s">
        <v>87</v>
      </c>
      <c r="P144" s="135"/>
      <c r="Q144" s="135"/>
      <c r="R144" s="135" t="s">
        <v>52</v>
      </c>
      <c r="S144" s="135"/>
      <c r="T144" s="135" t="s">
        <v>3</v>
      </c>
      <c r="U144" s="135"/>
    </row>
    <row r="145" spans="2:21" ht="15.75" customHeight="1" x14ac:dyDescent="0.2">
      <c r="B145" s="77">
        <v>86</v>
      </c>
      <c r="C145" s="69" t="str">
        <f>_xlfn.TEXTJOIN(,TRUE,_xlfn.XLOOKUP(_xlfn.TEXTJOIN(,TRUE,$B138,"-P",$B145),$O$5:$O$116,$N$5:$N$116,""), _xlfn.XLOOKUP(_xlfn.TEXTJOIN(,TRUE,$B138,"-P",$B145),$P$5:$P$116,$N$5:$N$116, ""))</f>
        <v>L.10.42</v>
      </c>
      <c r="D145" s="69">
        <f>_xlfn.XLOOKUP($G145,$N$5:$N$116,$R$5:$R$116)</f>
        <v>18</v>
      </c>
      <c r="E145" s="69" t="str">
        <f>_xlfn.XLOOKUP($G145,$N$5:$N$116,$S$5:$S$116)</f>
        <v>RED</v>
      </c>
      <c r="F145" s="78" t="str">
        <f>_xlfn.TEXTJOIN(" / ", TRUE,_xlfn.XLOOKUP($G145,$N$5:$N$116,$O$5:$O$116), _xlfn.XLOOKUP($G145,$N$5:$N$116,$P$5:$P$116))</f>
        <v>J9 / RLY1-P86</v>
      </c>
      <c r="G145" s="71" t="str">
        <f>C145</f>
        <v>L.10.42</v>
      </c>
      <c r="H145" s="13">
        <f>_xlfn.XLOOKUP($G145,$N$5:$N$116,$M$5:$M$116)</f>
        <v>0.15</v>
      </c>
      <c r="I145" s="13" t="str">
        <f>_xlfn.XLOOKUP($G145,$N$5:$N$116,$Q$5:$Q$116)</f>
        <v>BA Relay (1) Coil Power (From Run/STOP)</v>
      </c>
      <c r="M145" s="71" t="s">
        <v>91</v>
      </c>
      <c r="N145" s="25" t="s">
        <v>341</v>
      </c>
      <c r="O145" s="82" t="s">
        <v>342</v>
      </c>
      <c r="P145" s="27"/>
      <c r="Q145" s="27"/>
      <c r="R145" s="27" t="s">
        <v>77</v>
      </c>
      <c r="S145" s="27"/>
      <c r="T145" s="69"/>
      <c r="U145" s="27"/>
    </row>
    <row r="146" spans="2:21" ht="15.75" customHeight="1" x14ac:dyDescent="0.2">
      <c r="B146" s="14">
        <v>85</v>
      </c>
      <c r="C146" s="13" t="str">
        <f>_xlfn.TEXTJOIN(,TRUE,_xlfn.XLOOKUP(_xlfn.TEXTJOIN(,TRUE,$B138,"-P",$B146),$O$5:$O$116,$N$5:$N$116,""), _xlfn.XLOOKUP(_xlfn.TEXTJOIN(,TRUE,$B138,"-P",$B146),$P$5:$P$116,$N$5:$N$116, ""))</f>
        <v>L.10.49</v>
      </c>
      <c r="D146" s="13">
        <f>_xlfn.XLOOKUP($G146,$N$5:$N$116,$R$5:$R$116)</f>
        <v>18</v>
      </c>
      <c r="E146" s="13" t="str">
        <f>_xlfn.XLOOKUP($G146,$N$5:$N$116,$S$5:$S$116)</f>
        <v>BLACK</v>
      </c>
      <c r="F146" s="48" t="str">
        <f>_xlfn.TEXTJOIN(" / ", TRUE,_xlfn.XLOOKUP($G146,$N$5:$N$116,$O$5:$O$116), _xlfn.XLOOKUP($G146,$N$5:$N$116,$P$5:$P$116))</f>
        <v>RLY1-P85 / P8-C3</v>
      </c>
      <c r="G146" s="71" t="str">
        <f>C146</f>
        <v>L.10.49</v>
      </c>
      <c r="H146" s="13">
        <f>_xlfn.XLOOKUP($G146,$N$5:$N$116,$M$5:$M$116)</f>
        <v>0.15</v>
      </c>
      <c r="I146" s="13" t="str">
        <f>_xlfn.XLOOKUP($G146,$N$5:$N$116,$Q$5:$Q$116)</f>
        <v>Bank angle relay coil exit - gnd thru BAS</v>
      </c>
      <c r="M146" s="70" t="s">
        <v>93</v>
      </c>
      <c r="N146" s="25" t="s">
        <v>365</v>
      </c>
      <c r="O146" s="3" t="s">
        <v>366</v>
      </c>
      <c r="P146" s="3"/>
      <c r="Q146" s="3"/>
      <c r="R146" s="28" t="s">
        <v>8</v>
      </c>
      <c r="S146" s="28"/>
      <c r="T146" s="4"/>
      <c r="U146" s="3"/>
    </row>
    <row r="147" spans="2:21" ht="15.75" customHeight="1" x14ac:dyDescent="0.2">
      <c r="B147" s="14">
        <v>30</v>
      </c>
      <c r="C147" s="13" t="str">
        <f>_xlfn.TEXTJOIN(,TRUE,_xlfn.XLOOKUP(_xlfn.TEXTJOIN(,TRUE,$B138,"-P",$B147),$O$5:$O$116,$N$5:$N$116,""), _xlfn.XLOOKUP(_xlfn.TEXTJOIN(,TRUE,$B138,"-P",$B147),$P$5:$P$116,$N$5:$N$116, ""))</f>
        <v>L.10.7</v>
      </c>
      <c r="D147" s="13">
        <f>_xlfn.XLOOKUP($G147,$N$5:$N$116,$R$5:$R$116)</f>
        <v>12</v>
      </c>
      <c r="E147" s="13" t="str">
        <f>_xlfn.XLOOKUP($G147,$N$5:$N$116,$S$5:$S$116)</f>
        <v>RED</v>
      </c>
      <c r="F147" s="48" t="str">
        <f>_xlfn.TEXTJOIN(" / ", TRUE,_xlfn.XLOOKUP($G147,$N$5:$N$116,$O$5:$O$116), _xlfn.XLOOKUP($G147,$N$5:$N$116,$P$5:$P$116))</f>
        <v>F1 / RLY1-P30</v>
      </c>
      <c r="G147" s="71" t="str">
        <f>C147</f>
        <v>L.10.7</v>
      </c>
      <c r="H147" s="13">
        <f>_xlfn.XLOOKUP($G147,$N$5:$N$116,$M$5:$M$116)</f>
        <v>15.3</v>
      </c>
      <c r="I147" s="13" t="str">
        <f>_xlfn.XLOOKUP($G147,$N$5:$N$116,$Q$5:$Q$116)</f>
        <v>Relay 1 (Bank Angle) +12V Power Supply</v>
      </c>
      <c r="M147" s="70" t="s">
        <v>125</v>
      </c>
      <c r="N147" s="25" t="s">
        <v>390</v>
      </c>
      <c r="O147" s="3" t="s">
        <v>391</v>
      </c>
      <c r="P147" s="3"/>
      <c r="Q147" s="3"/>
      <c r="R147" s="28" t="s">
        <v>392</v>
      </c>
      <c r="S147" s="28"/>
      <c r="T147" s="4"/>
      <c r="U147" s="3"/>
    </row>
    <row r="148" spans="2:21" ht="15.75" customHeight="1" x14ac:dyDescent="0.2">
      <c r="B148" s="14">
        <v>87</v>
      </c>
      <c r="C148" s="13" t="str">
        <f>_xlfn.TEXTJOIN(,TRUE,_xlfn.XLOOKUP(_xlfn.TEXTJOIN(,TRUE,$B138,"-P",$B148),$O$5:$O$116,$N$5:$N$116,""), _xlfn.XLOOKUP(_xlfn.TEXTJOIN(,TRUE,$B138,"-P",$B148),$P$5:$P$116,$N$5:$N$116, ""))</f>
        <v>L.10.13</v>
      </c>
      <c r="D148" s="13">
        <f>_xlfn.XLOOKUP($G148,$N$5:$N$116,$R$5:$R$116)</f>
        <v>12</v>
      </c>
      <c r="E148" s="13" t="str">
        <f>_xlfn.XLOOKUP($G148,$N$5:$N$116,$S$5:$S$116)</f>
        <v>RED</v>
      </c>
      <c r="F148" s="48" t="str">
        <f>_xlfn.TEXTJOIN(" / ", TRUE,_xlfn.XLOOKUP($G148,$N$5:$N$116,$O$5:$O$116), _xlfn.XLOOKUP($G148,$N$5:$N$116,$P$5:$P$116))</f>
        <v>RLY1-P87 / J1</v>
      </c>
      <c r="G148" s="71" t="str">
        <f>C148</f>
        <v>L.10.13</v>
      </c>
      <c r="H148" s="13">
        <f>_xlfn.XLOOKUP($G148,$N$5:$N$116,$M$5:$M$116)</f>
        <v>15.3</v>
      </c>
      <c r="I148" s="13" t="str">
        <f>_xlfn.XLOOKUP($G148,$N$5:$N$116,$Q$5:$Q$116)</f>
        <v>+12V From Relay 1 Pin 87</v>
      </c>
      <c r="M148" s="70" t="s">
        <v>124</v>
      </c>
      <c r="N148" s="25" t="s">
        <v>494</v>
      </c>
      <c r="O148" s="3" t="s">
        <v>495</v>
      </c>
      <c r="P148" s="3"/>
      <c r="Q148" s="3"/>
      <c r="R148" s="28" t="s">
        <v>496</v>
      </c>
      <c r="S148" s="28"/>
      <c r="T148" s="4"/>
      <c r="U148" s="3"/>
    </row>
    <row r="149" spans="2:21" ht="15.75" customHeight="1" thickBot="1" x14ac:dyDescent="0.25">
      <c r="B149" s="67" t="s">
        <v>561</v>
      </c>
      <c r="C149" s="16" t="str">
        <f>_xlfn.TEXTJOIN(,TRUE,_xlfn.XLOOKUP(_xlfn.TEXTJOIN(,TRUE,$B138,"-P",$B149),$O$5:$O$116,$N$5:$N$116,""), _xlfn.XLOOKUP(_xlfn.TEXTJOIN(,TRUE,$B138,"-P",$B149),$P$5:$P$116,$N$5:$N$116, ""))</f>
        <v/>
      </c>
      <c r="D149" s="16" t="e">
        <f>_xlfn.XLOOKUP($G149,$N$5:$N$116,$R$5:$R$116)</f>
        <v>#N/A</v>
      </c>
      <c r="E149" s="16" t="e">
        <f>_xlfn.XLOOKUP($G149,$N$5:$N$116,$S$5:$S$116)</f>
        <v>#N/A</v>
      </c>
      <c r="F149" s="50" t="e">
        <f>_xlfn.TEXTJOIN(" / ", TRUE,_xlfn.XLOOKUP($G149,$N$5:$N$116,$O$5:$O$116), _xlfn.XLOOKUP($G149,$N$5:$N$116,$P$5:$P$116))</f>
        <v>#N/A</v>
      </c>
      <c r="G149" s="71" t="str">
        <f>C149</f>
        <v/>
      </c>
      <c r="H149" s="71"/>
      <c r="I149" s="13" t="e">
        <f>_xlfn.XLOOKUP($G149,$N$5:$N$116,$Q$5:$Q$116)</f>
        <v>#N/A</v>
      </c>
      <c r="M149" s="70" t="s">
        <v>504</v>
      </c>
      <c r="N149" s="25" t="s">
        <v>505</v>
      </c>
      <c r="O149" s="3" t="s">
        <v>506</v>
      </c>
      <c r="P149" s="3"/>
      <c r="Q149" s="3"/>
      <c r="R149" s="28" t="s">
        <v>80</v>
      </c>
      <c r="S149" s="28"/>
      <c r="T149" s="4"/>
      <c r="U149" s="3"/>
    </row>
    <row r="150" spans="2:21" ht="15.75" customHeight="1" x14ac:dyDescent="0.2">
      <c r="B150" s="65"/>
      <c r="C150" s="65"/>
      <c r="D150" s="65"/>
      <c r="E150" s="65"/>
      <c r="F150" s="65"/>
      <c r="M150" s="70" t="s">
        <v>504</v>
      </c>
      <c r="N150" s="25" t="s">
        <v>507</v>
      </c>
      <c r="O150" s="3" t="s">
        <v>508</v>
      </c>
      <c r="P150" s="3"/>
      <c r="Q150" s="3"/>
      <c r="R150" s="28" t="s">
        <v>81</v>
      </c>
      <c r="S150" s="3"/>
      <c r="T150" s="4"/>
      <c r="U150" s="3"/>
    </row>
    <row r="151" spans="2:21" ht="15.75" customHeight="1" thickBot="1" x14ac:dyDescent="0.25">
      <c r="B151" s="65"/>
      <c r="C151" s="65"/>
      <c r="D151" s="65"/>
      <c r="E151" s="65"/>
      <c r="F151" s="65"/>
      <c r="M151" s="70" t="s">
        <v>613</v>
      </c>
      <c r="N151" s="25" t="s">
        <v>607</v>
      </c>
      <c r="O151" s="3" t="s">
        <v>611</v>
      </c>
      <c r="P151" s="3"/>
      <c r="Q151" s="3"/>
      <c r="R151" s="28" t="s">
        <v>615</v>
      </c>
      <c r="S151" s="3"/>
      <c r="T151" s="4"/>
      <c r="U151" s="3"/>
    </row>
    <row r="152" spans="2:21" ht="18.75" thickBot="1" x14ac:dyDescent="0.3">
      <c r="B152" s="93" t="s">
        <v>563</v>
      </c>
      <c r="C152" s="94"/>
      <c r="D152" s="95"/>
      <c r="E152" s="96"/>
      <c r="F152" s="97" t="str">
        <f>_xlfn.XLOOKUP(C153,$W$5:$W$29,$AA$5:$AA$29)</f>
        <v>Fuel Power</v>
      </c>
      <c r="M152" s="70" t="s">
        <v>613</v>
      </c>
      <c r="N152" s="22" t="s">
        <v>608</v>
      </c>
      <c r="O152" s="3" t="s">
        <v>612</v>
      </c>
      <c r="R152" s="28" t="s">
        <v>81</v>
      </c>
    </row>
    <row r="153" spans="2:21" ht="15.75" customHeight="1" x14ac:dyDescent="0.25">
      <c r="B153" s="91" t="s">
        <v>560</v>
      </c>
      <c r="C153" s="89">
        <f>VALUE(RIGHT(B152,LEN(B152)-3))</f>
        <v>2</v>
      </c>
      <c r="D153" s="99"/>
      <c r="E153" s="99"/>
      <c r="F153" s="44"/>
      <c r="M153" s="70" t="s">
        <v>614</v>
      </c>
      <c r="N153" s="22" t="s">
        <v>609</v>
      </c>
      <c r="O153" s="3" t="s">
        <v>611</v>
      </c>
      <c r="R153" s="28" t="s">
        <v>615</v>
      </c>
    </row>
    <row r="154" spans="2:21" ht="15.75" customHeight="1" x14ac:dyDescent="0.2">
      <c r="B154" s="91" t="s">
        <v>559</v>
      </c>
      <c r="C154" s="90" t="str">
        <f>_xlfn.XLOOKUP(C153,$W$5:$W$29,$X$5:$X$29)</f>
        <v>SC: 871-1C-S-D1-12VDC</v>
      </c>
      <c r="D154" s="11"/>
      <c r="E154" s="11"/>
      <c r="F154" s="44"/>
      <c r="M154" s="70" t="s">
        <v>614</v>
      </c>
      <c r="N154" s="22" t="s">
        <v>610</v>
      </c>
      <c r="O154" s="3" t="s">
        <v>612</v>
      </c>
      <c r="R154" s="28" t="s">
        <v>81</v>
      </c>
    </row>
    <row r="155" spans="2:21" ht="12.75" x14ac:dyDescent="0.2">
      <c r="B155" s="92" t="s">
        <v>3</v>
      </c>
      <c r="C155" s="138" t="str">
        <f>_xlfn.XLOOKUP(C153,$W$5:$W$29,$AC$5:$AC$29)</f>
        <v>Allows Battery power to Fuel Injectors and Fuel Pump Relay pin 30</v>
      </c>
      <c r="D155" s="138"/>
      <c r="E155" s="138"/>
      <c r="F155" s="139"/>
    </row>
    <row r="156" spans="2:21" ht="15.75" customHeight="1" x14ac:dyDescent="0.2">
      <c r="B156" s="47"/>
      <c r="C156" s="138"/>
      <c r="D156" s="138"/>
      <c r="E156" s="138"/>
      <c r="F156" s="139"/>
    </row>
    <row r="157" spans="2:21" ht="15.75" customHeight="1" x14ac:dyDescent="0.2">
      <c r="B157" s="47"/>
      <c r="C157" s="138"/>
      <c r="D157" s="138"/>
      <c r="E157" s="138"/>
      <c r="F157" s="139"/>
    </row>
    <row r="158" spans="2:21" ht="15.75" customHeight="1" thickBot="1" x14ac:dyDescent="0.25">
      <c r="B158" s="84" t="s">
        <v>4</v>
      </c>
      <c r="C158" s="85" t="s">
        <v>11</v>
      </c>
      <c r="D158" s="85" t="s">
        <v>83</v>
      </c>
      <c r="E158" s="85" t="s">
        <v>84</v>
      </c>
      <c r="F158" s="86" t="s">
        <v>562</v>
      </c>
      <c r="G158" s="84" t="s">
        <v>11</v>
      </c>
      <c r="H158" s="85" t="s">
        <v>581</v>
      </c>
      <c r="I158" s="85" t="s">
        <v>90</v>
      </c>
    </row>
    <row r="159" spans="2:21" ht="15.75" customHeight="1" x14ac:dyDescent="0.2">
      <c r="B159" s="77">
        <v>86</v>
      </c>
      <c r="C159" s="69" t="str">
        <f>_xlfn.TEXTJOIN(,TRUE,_xlfn.XLOOKUP(_xlfn.TEXTJOIN(,TRUE,$B152,"-P",$B159),$O$5:$O$116,$N$5:$N$116,""), _xlfn.XLOOKUP(_xlfn.TEXTJOIN(,TRUE,$B152,"-P",$B159),$P$5:$P$116,$N$5:$N$116, ""))</f>
        <v>L.10.15</v>
      </c>
      <c r="D159" s="69">
        <f>_xlfn.XLOOKUP($G159,$N$5:$N$116,$R$5:$R$116)</f>
        <v>20</v>
      </c>
      <c r="E159" s="69" t="str">
        <f>_xlfn.XLOOKUP($G159,$N$5:$N$116,$S$5:$S$116)</f>
        <v>RED</v>
      </c>
      <c r="F159" s="78" t="str">
        <f>_xlfn.TEXTJOIN(" / ", TRUE,_xlfn.XLOOKUP($G159,$N$5:$N$116,$O$5:$O$116), _xlfn.XLOOKUP($G159,$N$5:$N$116,$P$5:$P$116))</f>
        <v>J1 / RLY2-P86</v>
      </c>
      <c r="G159" s="71" t="str">
        <f>C159</f>
        <v>L.10.15</v>
      </c>
      <c r="H159" s="13">
        <f>_xlfn.XLOOKUP($G159,$N$5:$N$116,$M$5:$M$116)</f>
        <v>0.15</v>
      </c>
      <c r="I159" s="13" t="str">
        <f>_xlfn.XLOOKUP($G159,$N$5:$N$116,$Q$5:$Q$116)</f>
        <v>(Relay 1 P87) 12V PWR for Relay 2 P86</v>
      </c>
    </row>
    <row r="160" spans="2:21" ht="15.75" customHeight="1" x14ac:dyDescent="0.2">
      <c r="B160" s="14">
        <v>85</v>
      </c>
      <c r="C160" s="13" t="str">
        <f>_xlfn.TEXTJOIN(,TRUE,_xlfn.XLOOKUP(_xlfn.TEXTJOIN(,TRUE,$B152,"-P",$B160),$O$5:$O$116,$N$5:$N$116,""), _xlfn.XLOOKUP(_xlfn.TEXTJOIN(,TRUE,$B152,"-P",$B160),$P$5:$P$116,$N$5:$N$116, ""))</f>
        <v>L.10.60</v>
      </c>
      <c r="D160" s="13">
        <f>_xlfn.XLOOKUP($G160,$N$5:$N$116,$R$5:$R$116)</f>
        <v>22</v>
      </c>
      <c r="E160" s="13" t="str">
        <f>_xlfn.XLOOKUP($G160,$N$5:$N$116,$S$5:$S$116)</f>
        <v>BLACK</v>
      </c>
      <c r="F160" s="48" t="str">
        <f>_xlfn.TEXTJOIN(" / ", TRUE,_xlfn.XLOOKUP($G160,$N$5:$N$116,$O$5:$O$116), _xlfn.XLOOKUP($G160,$N$5:$N$116,$P$5:$P$116))</f>
        <v>RLY2-P85 / J12</v>
      </c>
      <c r="G160" s="71" t="str">
        <f>C160</f>
        <v>L.10.60</v>
      </c>
      <c r="H160" s="13">
        <f>_xlfn.XLOOKUP($G160,$N$5:$N$116,$M$5:$M$116)</f>
        <v>0.15</v>
      </c>
      <c r="I160" s="13" t="str">
        <f>_xlfn.XLOOKUP($G160,$N$5:$N$116,$Q$5:$Q$116)</f>
        <v>Relay 2 Coil GND - to Bat Neg</v>
      </c>
    </row>
    <row r="161" spans="2:21" ht="15.75" customHeight="1" x14ac:dyDescent="0.2">
      <c r="B161" s="14">
        <v>30</v>
      </c>
      <c r="C161" s="13" t="str">
        <f>_xlfn.TEXTJOIN(,TRUE,_xlfn.XLOOKUP(_xlfn.TEXTJOIN(,TRUE,$B152,"-P",$B161),$O$5:$O$116,$N$5:$N$116,""), _xlfn.XLOOKUP(_xlfn.TEXTJOIN(,TRUE,$B152,"-P",$B161),$P$5:$P$116,$N$5:$N$116, ""))</f>
        <v>L.10.8</v>
      </c>
      <c r="D161" s="13">
        <f>_xlfn.XLOOKUP($G161,$N$5:$N$116,$R$5:$R$116)</f>
        <v>12</v>
      </c>
      <c r="E161" s="13" t="str">
        <f>_xlfn.XLOOKUP($G161,$N$5:$N$116,$S$5:$S$116)</f>
        <v>RED</v>
      </c>
      <c r="F161" s="48" t="str">
        <f>_xlfn.TEXTJOIN(" / ", TRUE,_xlfn.XLOOKUP($G161,$N$5:$N$116,$O$5:$O$116), _xlfn.XLOOKUP($G161,$N$5:$N$116,$P$5:$P$116))</f>
        <v>F2 / RLY2-P30</v>
      </c>
      <c r="G161" s="71" t="str">
        <f>C161</f>
        <v>L.10.8</v>
      </c>
      <c r="H161" s="13">
        <f>_xlfn.XLOOKUP($G161,$N$5:$N$116,$M$5:$M$116)</f>
        <v>10.65</v>
      </c>
      <c r="I161" s="13" t="str">
        <f>_xlfn.XLOOKUP($G161,$N$5:$N$116,$Q$5:$Q$116)</f>
        <v>Relay 2 (Fuel) +12V Power Supply</v>
      </c>
    </row>
    <row r="162" spans="2:21" ht="15.75" customHeight="1" x14ac:dyDescent="0.2">
      <c r="B162" s="14">
        <v>87</v>
      </c>
      <c r="C162" s="13" t="str">
        <f>_xlfn.TEXTJOIN(,TRUE,_xlfn.XLOOKUP(_xlfn.TEXTJOIN(,TRUE,$B152,"-P",$B162),$O$5:$O$116,$N$5:$N$116,""), _xlfn.XLOOKUP(_xlfn.TEXTJOIN(,TRUE,$B152,"-P",$B162),$P$5:$P$116,$N$5:$N$116, ""))</f>
        <v>L.10.17</v>
      </c>
      <c r="D162" s="13">
        <f>_xlfn.XLOOKUP($G162,$N$5:$N$116,$R$5:$R$116)</f>
        <v>12</v>
      </c>
      <c r="E162" s="13" t="str">
        <f>_xlfn.XLOOKUP($G162,$N$5:$N$116,$S$5:$S$116)</f>
        <v>RED</v>
      </c>
      <c r="F162" s="48" t="str">
        <f>_xlfn.TEXTJOIN(" / ", TRUE,_xlfn.XLOOKUP($G162,$N$5:$N$116,$O$5:$O$116), _xlfn.XLOOKUP($G162,$N$5:$N$116,$P$5:$P$116))</f>
        <v>RLY2-P87 / J2</v>
      </c>
      <c r="G162" s="71" t="str">
        <f>C162</f>
        <v>L.10.17</v>
      </c>
      <c r="H162" s="13">
        <f>_xlfn.XLOOKUP($G162,$N$5:$N$116,$M$5:$M$116)</f>
        <v>10.65</v>
      </c>
      <c r="I162" s="13" t="str">
        <f>_xlfn.XLOOKUP($G162,$N$5:$N$116,$Q$5:$Q$116)</f>
        <v>+12V From Relay 2 Pin 87</v>
      </c>
    </row>
    <row r="163" spans="2:21" ht="15.75" customHeight="1" thickBot="1" x14ac:dyDescent="0.25">
      <c r="B163" s="67" t="s">
        <v>561</v>
      </c>
      <c r="C163" s="16" t="str">
        <f>_xlfn.TEXTJOIN(,TRUE,_xlfn.XLOOKUP(_xlfn.TEXTJOIN(,TRUE,$B152,"-P",$B163),$O$5:$O$116,$N$5:$N$116,""), _xlfn.XLOOKUP(_xlfn.TEXTJOIN(,TRUE,$B152,"-P",$B163),$P$5:$P$116,$N$5:$N$116, ""))</f>
        <v/>
      </c>
      <c r="D163" s="16" t="e">
        <f>_xlfn.XLOOKUP($G163,$N$5:$N$116,$R$5:$R$116)</f>
        <v>#N/A</v>
      </c>
      <c r="E163" s="16" t="e">
        <f>_xlfn.XLOOKUP($G163,$N$5:$N$116,$S$5:$S$116)</f>
        <v>#N/A</v>
      </c>
      <c r="F163" s="50" t="e">
        <f>_xlfn.TEXTJOIN(" / ", TRUE,_xlfn.XLOOKUP($G163,$N$5:$N$116,$O$5:$O$116), _xlfn.XLOOKUP($G163,$N$5:$N$116,$P$5:$P$116))</f>
        <v>#N/A</v>
      </c>
      <c r="G163" s="71" t="str">
        <f>C163</f>
        <v/>
      </c>
      <c r="H163" s="13" t="e">
        <f>_xlfn.XLOOKUP($G163,$N$5:$N$116,$M$5:$M$116)</f>
        <v>#N/A</v>
      </c>
      <c r="I163" s="13" t="e">
        <f>_xlfn.XLOOKUP($G163,$N$5:$N$116,$Q$5:$Q$116)</f>
        <v>#N/A</v>
      </c>
    </row>
    <row r="165" spans="2:21" ht="15.75" customHeight="1" thickBot="1" x14ac:dyDescent="0.25"/>
    <row r="166" spans="2:21" ht="15.75" customHeight="1" thickBot="1" x14ac:dyDescent="0.3">
      <c r="B166" s="93" t="s">
        <v>564</v>
      </c>
      <c r="C166" s="94"/>
      <c r="D166" s="95"/>
      <c r="E166" s="96"/>
      <c r="F166" s="97" t="str">
        <f>_xlfn.XLOOKUP(C167,$W$5:$W$29,$AA$5:$AA$29)</f>
        <v>(Switched) Fan Power</v>
      </c>
    </row>
    <row r="167" spans="2:21" ht="15.75" customHeight="1" x14ac:dyDescent="0.25">
      <c r="B167" s="91" t="s">
        <v>560</v>
      </c>
      <c r="C167" s="89">
        <f>VALUE(RIGHT(B166,LEN(B166)-3))</f>
        <v>3</v>
      </c>
      <c r="D167" s="99"/>
      <c r="E167" s="99"/>
      <c r="F167" s="44"/>
    </row>
    <row r="168" spans="2:21" ht="15.75" customHeight="1" x14ac:dyDescent="0.2">
      <c r="B168" s="91" t="s">
        <v>559</v>
      </c>
      <c r="C168" s="90" t="str">
        <f>_xlfn.XLOOKUP(C167,$W$5:$W$29,$X$5:$X$29)</f>
        <v>SC: 871-1C-S-D1-12VDC</v>
      </c>
      <c r="D168" s="11"/>
      <c r="E168" s="11"/>
      <c r="F168" s="44"/>
    </row>
    <row r="169" spans="2:21" ht="12.75" x14ac:dyDescent="0.2">
      <c r="B169" s="92" t="s">
        <v>3</v>
      </c>
      <c r="C169" s="138" t="str">
        <f>_xlfn.XLOOKUP(C167,$W$5:$W$29,$AC$5:$AC$29)</f>
        <v>Allows Power from battery to fan relay pin 30</v>
      </c>
      <c r="D169" s="138"/>
      <c r="E169" s="138"/>
      <c r="F169" s="139"/>
    </row>
    <row r="170" spans="2:21" ht="15.75" customHeight="1" x14ac:dyDescent="0.2">
      <c r="B170" s="47"/>
      <c r="C170" s="138"/>
      <c r="D170" s="138"/>
      <c r="E170" s="138"/>
      <c r="F170" s="139"/>
    </row>
    <row r="171" spans="2:21" ht="15.75" customHeight="1" x14ac:dyDescent="0.2">
      <c r="B171" s="47"/>
      <c r="C171" s="138"/>
      <c r="D171" s="138"/>
      <c r="E171" s="138"/>
      <c r="F171" s="139"/>
    </row>
    <row r="172" spans="2:21" ht="13.5" thickBot="1" x14ac:dyDescent="0.25">
      <c r="B172" s="84" t="s">
        <v>4</v>
      </c>
      <c r="C172" s="85" t="s">
        <v>11</v>
      </c>
      <c r="D172" s="85" t="s">
        <v>83</v>
      </c>
      <c r="E172" s="85" t="s">
        <v>84</v>
      </c>
      <c r="F172" s="86" t="s">
        <v>562</v>
      </c>
      <c r="G172" s="84" t="s">
        <v>11</v>
      </c>
      <c r="H172" s="85" t="s">
        <v>581</v>
      </c>
      <c r="I172" s="85" t="s">
        <v>90</v>
      </c>
    </row>
    <row r="173" spans="2:21" ht="15.75" customHeight="1" x14ac:dyDescent="0.2">
      <c r="B173" s="77">
        <v>86</v>
      </c>
      <c r="C173" s="69" t="str">
        <f>_xlfn.TEXTJOIN(,TRUE,_xlfn.XLOOKUP(_xlfn.TEXTJOIN(,TRUE,$B166,"-P",$B173),$O$5:$O$116,$N$5:$N$116,""), _xlfn.XLOOKUP(_xlfn.TEXTJOIN(,TRUE,$B166,"-P",$B173),$P$5:$P$116,$N$5:$N$116, ""))</f>
        <v>L.10.16</v>
      </c>
      <c r="D173" s="69">
        <f>_xlfn.XLOOKUP($G173,$N$5:$N$116,$R$5:$R$116)</f>
        <v>20</v>
      </c>
      <c r="E173" s="69" t="str">
        <f>_xlfn.XLOOKUP($G173,$N$5:$N$116,$S$5:$S$116)</f>
        <v>RED</v>
      </c>
      <c r="F173" s="78" t="str">
        <f>_xlfn.TEXTJOIN(" / ", TRUE,_xlfn.XLOOKUP($G173,$N$5:$N$116,$O$5:$O$116), _xlfn.XLOOKUP($G173,$N$5:$N$116,$P$5:$P$116))</f>
        <v>J1 / RLY3-P86</v>
      </c>
      <c r="G173" s="71" t="str">
        <f>C173</f>
        <v>L.10.16</v>
      </c>
      <c r="H173" s="13">
        <f>_xlfn.XLOOKUP($G173,$N$5:$N$116,$M$5:$M$116)</f>
        <v>0.15</v>
      </c>
      <c r="I173" s="13" t="str">
        <f>_xlfn.XLOOKUP($G173,$N$5:$N$116,$Q$5:$Q$116)</f>
        <v>(Relay 1 P87) 12V PWR for Relay 3 P86</v>
      </c>
      <c r="M173" s="70"/>
      <c r="N173" s="25"/>
      <c r="O173" s="3"/>
      <c r="P173" s="3"/>
      <c r="Q173" s="3"/>
      <c r="R173" s="28"/>
      <c r="S173" s="3"/>
      <c r="T173" s="4"/>
      <c r="U173" s="3"/>
    </row>
    <row r="174" spans="2:21" ht="15.75" customHeight="1" x14ac:dyDescent="0.2">
      <c r="B174" s="14">
        <v>85</v>
      </c>
      <c r="C174" s="13" t="str">
        <f>_xlfn.TEXTJOIN(,TRUE,_xlfn.XLOOKUP(_xlfn.TEXTJOIN(,TRUE,$B166,"-P",$B174),$O$5:$O$116,$N$5:$N$116,""), _xlfn.XLOOKUP(_xlfn.TEXTJOIN(,TRUE,$B166,"-P",$B174),$P$5:$P$116,$N$5:$N$116, ""))</f>
        <v>L.10.61</v>
      </c>
      <c r="D174" s="13">
        <f>_xlfn.XLOOKUP($G174,$N$5:$N$116,$R$5:$R$116)</f>
        <v>22</v>
      </c>
      <c r="E174" s="13" t="str">
        <f>_xlfn.XLOOKUP($G174,$N$5:$N$116,$S$5:$S$116)</f>
        <v>BLACK</v>
      </c>
      <c r="F174" s="48" t="str">
        <f>_xlfn.TEXTJOIN(" / ", TRUE,_xlfn.XLOOKUP($G174,$N$5:$N$116,$O$5:$O$116), _xlfn.XLOOKUP($G174,$N$5:$N$116,$P$5:$P$116))</f>
        <v>RLY3-P85 / J12</v>
      </c>
      <c r="G174" s="71" t="str">
        <f>C174</f>
        <v>L.10.61</v>
      </c>
      <c r="H174" s="13">
        <f>_xlfn.XLOOKUP($G174,$N$5:$N$116,$M$5:$M$116)</f>
        <v>0.15</v>
      </c>
      <c r="I174" s="13" t="str">
        <f>_xlfn.XLOOKUP($G174,$N$5:$N$116,$Q$5:$Q$116)</f>
        <v>Relay 3 Coil GND - to Bat Neg</v>
      </c>
      <c r="M174" s="70"/>
      <c r="N174" s="25"/>
      <c r="O174" s="3"/>
      <c r="P174" s="3"/>
      <c r="Q174" s="3"/>
      <c r="R174" s="28"/>
      <c r="S174" s="3"/>
      <c r="T174" s="4"/>
      <c r="U174" s="3"/>
    </row>
    <row r="175" spans="2:21" ht="15.75" customHeight="1" x14ac:dyDescent="0.2">
      <c r="B175" s="14">
        <v>30</v>
      </c>
      <c r="C175" s="13" t="str">
        <f>_xlfn.TEXTJOIN(,TRUE,_xlfn.XLOOKUP(_xlfn.TEXTJOIN(,TRUE,$B166,"-P",$B175),$O$5:$O$116,$N$5:$N$116,""), _xlfn.XLOOKUP(_xlfn.TEXTJOIN(,TRUE,$B166,"-P",$B175),$P$5:$P$116,$N$5:$N$116, ""))</f>
        <v>L.10.9</v>
      </c>
      <c r="D175" s="13">
        <f>_xlfn.XLOOKUP($G175,$N$5:$N$116,$R$5:$R$116)</f>
        <v>12</v>
      </c>
      <c r="E175" s="13" t="str">
        <f>_xlfn.XLOOKUP($G175,$N$5:$N$116,$S$5:$S$116)</f>
        <v>RED</v>
      </c>
      <c r="F175" s="48" t="str">
        <f>_xlfn.TEXTJOIN(" / ", TRUE,_xlfn.XLOOKUP($G175,$N$5:$N$116,$O$5:$O$116), _xlfn.XLOOKUP($G175,$N$5:$N$116,$P$5:$P$116))</f>
        <v>F3 / RLY3-P30</v>
      </c>
      <c r="G175" s="71" t="str">
        <f>C175</f>
        <v>L.10.9</v>
      </c>
      <c r="H175" s="13">
        <f>_xlfn.XLOOKUP($G175,$N$5:$N$116,$M$5:$M$116)</f>
        <v>10.15</v>
      </c>
      <c r="I175" s="13" t="str">
        <f>_xlfn.XLOOKUP($G175,$N$5:$N$116,$Q$5:$Q$116)</f>
        <v>Relay 3 (Fan) +12V Power Supply</v>
      </c>
      <c r="M175" s="70"/>
      <c r="N175" s="25"/>
      <c r="O175" s="3"/>
      <c r="P175" s="3"/>
      <c r="Q175" s="3"/>
      <c r="R175" s="28"/>
      <c r="S175" s="3"/>
      <c r="T175" s="4"/>
      <c r="U175" s="3"/>
    </row>
    <row r="176" spans="2:21" ht="15.75" customHeight="1" x14ac:dyDescent="0.2">
      <c r="B176" s="14">
        <v>87</v>
      </c>
      <c r="C176" s="13" t="str">
        <f>_xlfn.TEXTJOIN(,TRUE,_xlfn.XLOOKUP(_xlfn.TEXTJOIN(,TRUE,$B166,"-P",$B176),$O$5:$O$116,$N$5:$N$116,""), _xlfn.XLOOKUP(_xlfn.TEXTJOIN(,TRUE,$B166,"-P",$B176),$P$5:$P$116,$N$5:$N$116, ""))</f>
        <v>L.10.28</v>
      </c>
      <c r="D176" s="13">
        <f>_xlfn.XLOOKUP($G176,$N$5:$N$116,$R$5:$R$116)</f>
        <v>12</v>
      </c>
      <c r="E176" s="13" t="str">
        <f>_xlfn.XLOOKUP($G176,$N$5:$N$116,$S$5:$S$116)</f>
        <v>RED</v>
      </c>
      <c r="F176" s="48" t="str">
        <f>_xlfn.TEXTJOIN(" / ", TRUE,_xlfn.XLOOKUP($G176,$N$5:$N$116,$O$5:$O$116), _xlfn.XLOOKUP($G176,$N$5:$N$116,$P$5:$P$116))</f>
        <v>RLY3-P87 / J6</v>
      </c>
      <c r="G176" s="71" t="str">
        <f>C176</f>
        <v>L.10.28</v>
      </c>
      <c r="H176" s="13">
        <f>_xlfn.XLOOKUP($G176,$N$5:$N$116,$M$5:$M$116)</f>
        <v>10.15</v>
      </c>
      <c r="I176" s="13" t="str">
        <f>_xlfn.XLOOKUP($G176,$N$5:$N$116,$Q$5:$Q$116)</f>
        <v>Fan Relay Switched PWR</v>
      </c>
      <c r="M176" s="70"/>
      <c r="N176" s="25"/>
      <c r="O176" s="3"/>
      <c r="P176" s="3"/>
      <c r="Q176" s="3"/>
      <c r="R176" s="28"/>
      <c r="S176" s="3"/>
      <c r="T176" s="4"/>
      <c r="U176" s="3"/>
    </row>
    <row r="177" spans="2:21" ht="15.75" customHeight="1" thickBot="1" x14ac:dyDescent="0.25">
      <c r="B177" s="67" t="s">
        <v>561</v>
      </c>
      <c r="C177" s="16" t="str">
        <f>_xlfn.TEXTJOIN(,TRUE,_xlfn.XLOOKUP(_xlfn.TEXTJOIN(,TRUE,$B166,"-P",$B177),$O$5:$O$116,$N$5:$N$116,""), _xlfn.XLOOKUP(_xlfn.TEXTJOIN(,TRUE,$B166,"-P",$B177),$P$5:$P$116,$N$5:$N$116, ""))</f>
        <v/>
      </c>
      <c r="D177" s="16" t="e">
        <f>_xlfn.XLOOKUP($G177,$N$5:$N$116,$R$5:$R$116)</f>
        <v>#N/A</v>
      </c>
      <c r="E177" s="16" t="e">
        <f>_xlfn.XLOOKUP($G177,$N$5:$N$116,$S$5:$S$116)</f>
        <v>#N/A</v>
      </c>
      <c r="F177" s="50" t="e">
        <f>_xlfn.TEXTJOIN(" / ", TRUE,_xlfn.XLOOKUP($G177,$N$5:$N$116,$O$5:$O$116), _xlfn.XLOOKUP($G177,$N$5:$N$116,$P$5:$P$116))</f>
        <v>#N/A</v>
      </c>
      <c r="G177" s="71" t="str">
        <f>C177</f>
        <v/>
      </c>
      <c r="H177" s="13" t="e">
        <f>_xlfn.XLOOKUP($G177,$N$5:$N$116,$M$5:$M$116)</f>
        <v>#N/A</v>
      </c>
      <c r="I177" s="13" t="e">
        <f>_xlfn.XLOOKUP($G177,$N$5:$N$116,$Q$5:$Q$116)</f>
        <v>#N/A</v>
      </c>
      <c r="M177" s="70"/>
      <c r="N177" s="25"/>
      <c r="O177" s="3"/>
      <c r="P177" s="3"/>
      <c r="Q177" s="3"/>
      <c r="R177" s="28"/>
      <c r="S177" s="3"/>
      <c r="T177" s="4"/>
      <c r="U177" s="3"/>
    </row>
    <row r="178" spans="2:21" ht="15.75" customHeight="1" x14ac:dyDescent="0.2">
      <c r="M178" s="70"/>
      <c r="N178" s="25"/>
      <c r="O178" s="3"/>
      <c r="P178" s="3"/>
      <c r="Q178" s="3"/>
      <c r="R178" s="28"/>
      <c r="S178" s="3"/>
      <c r="T178" s="4"/>
      <c r="U178" s="3"/>
    </row>
    <row r="179" spans="2:21" ht="15.75" customHeight="1" thickBot="1" x14ac:dyDescent="0.25">
      <c r="M179" s="70"/>
      <c r="N179" s="25"/>
      <c r="O179" s="3"/>
      <c r="P179" s="3"/>
      <c r="Q179" s="3"/>
      <c r="R179" s="28"/>
      <c r="S179" s="3"/>
      <c r="T179" s="4"/>
      <c r="U179" s="3"/>
    </row>
    <row r="180" spans="2:21" ht="18.75" thickBot="1" x14ac:dyDescent="0.3">
      <c r="B180" s="93" t="s">
        <v>565</v>
      </c>
      <c r="C180" s="94"/>
      <c r="D180" s="95"/>
      <c r="E180" s="96"/>
      <c r="F180" s="97" t="str">
        <f>_xlfn.XLOOKUP(C181,$W$5:$W$29,$AA$5:$AA$29)</f>
        <v>(Switched) Headlight Power</v>
      </c>
      <c r="M180" s="70"/>
      <c r="N180" s="25"/>
      <c r="O180" s="3"/>
      <c r="P180" s="3"/>
      <c r="Q180" s="3"/>
      <c r="R180" s="28"/>
      <c r="S180" s="3"/>
      <c r="T180" s="4"/>
      <c r="U180" s="3"/>
    </row>
    <row r="181" spans="2:21" ht="15.75" customHeight="1" x14ac:dyDescent="0.25">
      <c r="B181" s="91" t="s">
        <v>560</v>
      </c>
      <c r="C181" s="89">
        <f>VALUE(RIGHT(B180,LEN(B180)-3))</f>
        <v>4</v>
      </c>
      <c r="D181" s="99"/>
      <c r="E181" s="99"/>
      <c r="F181" s="44"/>
      <c r="M181" s="70"/>
      <c r="N181" s="25"/>
      <c r="O181" s="3"/>
      <c r="P181" s="3"/>
      <c r="Q181" s="3"/>
      <c r="R181" s="28"/>
      <c r="S181" s="3"/>
      <c r="T181" s="4"/>
      <c r="U181" s="3"/>
    </row>
    <row r="182" spans="2:21" ht="15.75" customHeight="1" x14ac:dyDescent="0.2">
      <c r="B182" s="91" t="s">
        <v>559</v>
      </c>
      <c r="C182" s="90" t="str">
        <f>_xlfn.XLOOKUP(C181,$W$5:$W$29,$X$5:$X$29)</f>
        <v>SC: 871-1C-S-D1-12VDC</v>
      </c>
      <c r="D182" s="11"/>
      <c r="E182" s="11"/>
      <c r="F182" s="44"/>
      <c r="M182" s="70"/>
      <c r="N182" s="25"/>
      <c r="O182" s="3"/>
      <c r="P182" s="3"/>
      <c r="Q182" s="3"/>
      <c r="R182" s="28"/>
      <c r="S182" s="3"/>
      <c r="T182" s="4"/>
      <c r="U182" s="3"/>
    </row>
    <row r="183" spans="2:21" ht="15.75" customHeight="1" x14ac:dyDescent="0.2">
      <c r="B183" s="92" t="s">
        <v>3</v>
      </c>
      <c r="C183" s="138" t="str">
        <f>_xlfn.XLOOKUP(C181,$W$5:$W$29,$AC$5:$AC$29)</f>
        <v>Allows battery Power to Headlight Highbeam relay pin 30 and power for Low Beam light</v>
      </c>
      <c r="D183" s="138"/>
      <c r="E183" s="138"/>
      <c r="F183" s="139"/>
      <c r="M183" s="70"/>
      <c r="N183" s="25"/>
      <c r="O183" s="3"/>
      <c r="P183" s="3"/>
      <c r="Q183" s="3"/>
      <c r="R183" s="28"/>
      <c r="S183" s="3"/>
      <c r="T183" s="4"/>
      <c r="U183" s="3"/>
    </row>
    <row r="184" spans="2:21" ht="15.75" customHeight="1" x14ac:dyDescent="0.2">
      <c r="B184" s="47"/>
      <c r="C184" s="138"/>
      <c r="D184" s="138"/>
      <c r="E184" s="138"/>
      <c r="F184" s="139"/>
      <c r="M184" s="70"/>
      <c r="N184" s="25"/>
      <c r="O184" s="3"/>
      <c r="P184" s="3"/>
      <c r="Q184" s="3"/>
      <c r="R184" s="28"/>
      <c r="S184" s="3"/>
      <c r="T184" s="4"/>
      <c r="U184" s="3"/>
    </row>
    <row r="185" spans="2:21" ht="12.75" x14ac:dyDescent="0.2">
      <c r="B185" s="47"/>
      <c r="C185" s="138"/>
      <c r="D185" s="138"/>
      <c r="E185" s="138"/>
      <c r="F185" s="139"/>
      <c r="M185" s="70"/>
      <c r="N185" s="25"/>
      <c r="O185" s="3"/>
      <c r="P185" s="3"/>
      <c r="Q185" s="3"/>
      <c r="R185" s="28"/>
      <c r="S185" s="3"/>
      <c r="T185" s="4"/>
      <c r="U185" s="3"/>
    </row>
    <row r="186" spans="2:21" ht="15.75" customHeight="1" thickBot="1" x14ac:dyDescent="0.25">
      <c r="B186" s="84" t="s">
        <v>4</v>
      </c>
      <c r="C186" s="85" t="s">
        <v>11</v>
      </c>
      <c r="D186" s="85" t="s">
        <v>83</v>
      </c>
      <c r="E186" s="85" t="s">
        <v>84</v>
      </c>
      <c r="F186" s="86" t="s">
        <v>562</v>
      </c>
      <c r="G186" s="84" t="s">
        <v>11</v>
      </c>
      <c r="H186" s="85" t="s">
        <v>581</v>
      </c>
      <c r="I186" s="85" t="s">
        <v>90</v>
      </c>
      <c r="M186" s="70"/>
      <c r="N186" s="25"/>
      <c r="O186" s="3"/>
      <c r="P186" s="3"/>
      <c r="Q186" s="3"/>
      <c r="R186" s="28"/>
      <c r="S186" s="3"/>
      <c r="T186" s="4"/>
      <c r="U186" s="3"/>
    </row>
    <row r="187" spans="2:21" ht="15.75" customHeight="1" x14ac:dyDescent="0.2">
      <c r="B187" s="77">
        <v>86</v>
      </c>
      <c r="C187" s="69" t="str">
        <f>_xlfn.TEXTJOIN(,TRUE,_xlfn.XLOOKUP(_xlfn.TEXTJOIN(,TRUE,$B180,"-P",$B187),$O$5:$O$116,$N$5:$N$116,""), _xlfn.XLOOKUP(_xlfn.TEXTJOIN(,TRUE,$B180,"-P",$B187),$P$5:$P$116,$N$5:$N$116, ""))</f>
        <v>L.10.68</v>
      </c>
      <c r="D187" s="69">
        <f>_xlfn.XLOOKUP($G187,$N$5:$N$116,$R$5:$R$116)</f>
        <v>20</v>
      </c>
      <c r="E187" s="69" t="str">
        <f>_xlfn.XLOOKUP($G187,$N$5:$N$116,$S$5:$S$116)</f>
        <v>RED</v>
      </c>
      <c r="F187" s="78" t="str">
        <f>_xlfn.TEXTJOIN(" / ", TRUE,_xlfn.XLOOKUP($G187,$N$5:$N$116,$O$5:$O$116), _xlfn.XLOOKUP($G187,$N$5:$N$116,$P$5:$P$116))</f>
        <v>J13 / RLY4-P86</v>
      </c>
      <c r="G187" s="71" t="str">
        <f>C187</f>
        <v>L.10.68</v>
      </c>
      <c r="H187" s="13">
        <f>_xlfn.XLOOKUP($G187,$N$5:$N$116,$M$5:$M$116)</f>
        <v>0.15</v>
      </c>
      <c r="I187" s="13" t="str">
        <f>_xlfn.XLOOKUP($G187,$N$5:$N$116,$Q$5:$Q$116)</f>
        <v>Relay 4 (HL) Coil PWR (86)</v>
      </c>
      <c r="M187" s="70"/>
      <c r="N187" s="25"/>
      <c r="O187" s="3"/>
      <c r="P187" s="3"/>
      <c r="Q187" s="3"/>
      <c r="R187" s="28"/>
      <c r="S187" s="3"/>
      <c r="T187" s="4"/>
      <c r="U187" s="3"/>
    </row>
    <row r="188" spans="2:21" ht="15.75" customHeight="1" x14ac:dyDescent="0.2">
      <c r="B188" s="14">
        <v>85</v>
      </c>
      <c r="C188" s="13" t="str">
        <f>_xlfn.TEXTJOIN(,TRUE,_xlfn.XLOOKUP(_xlfn.TEXTJOIN(,TRUE,$B180,"-P",$B188),$O$5:$O$116,$N$5:$N$116,""), _xlfn.XLOOKUP(_xlfn.TEXTJOIN(,TRUE,$B180,"-P",$B188),$P$5:$P$116,$N$5:$N$116, ""))</f>
        <v>L.10.62</v>
      </c>
      <c r="D188" s="13">
        <f>_xlfn.XLOOKUP($G188,$N$5:$N$116,$R$5:$R$116)</f>
        <v>22</v>
      </c>
      <c r="E188" s="13" t="str">
        <f>_xlfn.XLOOKUP($G188,$N$5:$N$116,$S$5:$S$116)</f>
        <v>BLACK</v>
      </c>
      <c r="F188" s="48" t="str">
        <f>_xlfn.TEXTJOIN(" / ", TRUE,_xlfn.XLOOKUP($G188,$N$5:$N$116,$O$5:$O$116), _xlfn.XLOOKUP($G188,$N$5:$N$116,$P$5:$P$116))</f>
        <v>RLY4-P85 / J12</v>
      </c>
      <c r="G188" s="71" t="str">
        <f>C188</f>
        <v>L.10.62</v>
      </c>
      <c r="H188" s="13">
        <f>_xlfn.XLOOKUP($G188,$N$5:$N$116,$M$5:$M$116)</f>
        <v>0.15</v>
      </c>
      <c r="I188" s="13" t="str">
        <f>_xlfn.XLOOKUP($G188,$N$5:$N$116,$Q$5:$Q$116)</f>
        <v>Relay 4 Coil GND - to Bat Neg</v>
      </c>
      <c r="M188" s="70"/>
      <c r="N188" s="25"/>
      <c r="O188" s="3"/>
      <c r="P188" s="3"/>
      <c r="Q188" s="3"/>
      <c r="R188" s="28"/>
      <c r="S188" s="3"/>
      <c r="T188" s="4"/>
      <c r="U188" s="3"/>
    </row>
    <row r="189" spans="2:21" ht="15.75" customHeight="1" x14ac:dyDescent="0.2">
      <c r="B189" s="14">
        <v>30</v>
      </c>
      <c r="C189" s="13" t="str">
        <f>_xlfn.TEXTJOIN(,TRUE,_xlfn.XLOOKUP(_xlfn.TEXTJOIN(,TRUE,$B180,"-P",$B189),$O$5:$O$116,$N$5:$N$116,""), _xlfn.XLOOKUP(_xlfn.TEXTJOIN(,TRUE,$B180,"-P",$B189),$P$5:$P$116,$N$5:$N$116, ""))</f>
        <v>L.10.10</v>
      </c>
      <c r="D189" s="13">
        <f>_xlfn.XLOOKUP($G189,$N$5:$N$116,$R$5:$R$116)</f>
        <v>12</v>
      </c>
      <c r="E189" s="13" t="str">
        <f>_xlfn.XLOOKUP($G189,$N$5:$N$116,$S$5:$S$116)</f>
        <v>RED</v>
      </c>
      <c r="F189" s="48" t="str">
        <f>_xlfn.TEXTJOIN(" / ", TRUE,_xlfn.XLOOKUP($G189,$N$5:$N$116,$O$5:$O$116), _xlfn.XLOOKUP($G189,$N$5:$N$116,$P$5:$P$116))</f>
        <v>F4 / RLY4-P30</v>
      </c>
      <c r="G189" s="71" t="str">
        <f>C189</f>
        <v>L.10.10</v>
      </c>
      <c r="H189" s="13">
        <f>_xlfn.XLOOKUP($G189,$N$5:$N$116,$M$5:$M$116)</f>
        <v>14.3</v>
      </c>
      <c r="I189" s="13" t="str">
        <f>_xlfn.XLOOKUP($G189,$N$5:$N$116,$Q$5:$Q$116)</f>
        <v>Relay 4 (HL) +12V Power Supply</v>
      </c>
      <c r="M189" s="70"/>
      <c r="N189" s="25"/>
      <c r="O189" s="3"/>
      <c r="P189" s="3"/>
      <c r="Q189" s="3"/>
      <c r="R189" s="28"/>
      <c r="S189" s="3"/>
      <c r="T189" s="4"/>
      <c r="U189" s="3"/>
    </row>
    <row r="190" spans="2:21" ht="15.75" customHeight="1" x14ac:dyDescent="0.2">
      <c r="B190" s="14">
        <v>87</v>
      </c>
      <c r="C190" s="13" t="str">
        <f>_xlfn.TEXTJOIN(,TRUE,_xlfn.XLOOKUP(_xlfn.TEXTJOIN(,TRUE,$B180,"-P",$B190),$O$5:$O$116,$N$5:$N$116,""), _xlfn.XLOOKUP(_xlfn.TEXTJOIN(,TRUE,$B180,"-P",$B190),$P$5:$P$116,$N$5:$N$116, ""))</f>
        <v>L.10.35</v>
      </c>
      <c r="D190" s="13">
        <f>_xlfn.XLOOKUP($G190,$N$5:$N$116,$R$5:$R$116)</f>
        <v>12</v>
      </c>
      <c r="E190" s="13" t="str">
        <f>_xlfn.XLOOKUP($G190,$N$5:$N$116,$S$5:$S$116)</f>
        <v>RED</v>
      </c>
      <c r="F190" s="48" t="str">
        <f>_xlfn.TEXTJOIN(" / ", TRUE,_xlfn.XLOOKUP($G190,$N$5:$N$116,$O$5:$O$116), _xlfn.XLOOKUP($G190,$N$5:$N$116,$P$5:$P$116))</f>
        <v>RLY4-P87 / J8</v>
      </c>
      <c r="G190" s="71" t="str">
        <f>C190</f>
        <v>L.10.35</v>
      </c>
      <c r="H190" s="13">
        <f>_xlfn.XLOOKUP($G190,$N$5:$N$116,$M$5:$M$116)</f>
        <v>14.3</v>
      </c>
      <c r="I190" s="13" t="str">
        <f>_xlfn.XLOOKUP($G190,$N$5:$N$116,$Q$5:$Q$116)</f>
        <v>Headlight Relay SW PWR (87)</v>
      </c>
      <c r="M190" s="70"/>
      <c r="N190" s="25"/>
      <c r="O190" s="3"/>
      <c r="P190" s="3"/>
      <c r="Q190" s="3"/>
      <c r="R190" s="28"/>
      <c r="S190" s="3"/>
      <c r="T190" s="4"/>
      <c r="U190" s="3"/>
    </row>
    <row r="191" spans="2:21" ht="13.5" thickBot="1" x14ac:dyDescent="0.25">
      <c r="B191" s="67" t="s">
        <v>561</v>
      </c>
      <c r="C191" s="16" t="str">
        <f>_xlfn.TEXTJOIN(,TRUE,_xlfn.XLOOKUP(_xlfn.TEXTJOIN(,TRUE,$B180,"-P",$B191),$O$5:$O$116,$N$5:$N$116,""), _xlfn.XLOOKUP(_xlfn.TEXTJOIN(,TRUE,$B180,"-P",$B191),$P$5:$P$116,$N$5:$N$116, ""))</f>
        <v/>
      </c>
      <c r="D191" s="16" t="e">
        <f>_xlfn.XLOOKUP($G191,$N$5:$N$116,$R$5:$R$116)</f>
        <v>#N/A</v>
      </c>
      <c r="E191" s="16" t="e">
        <f>_xlfn.XLOOKUP($G191,$N$5:$N$116,$S$5:$S$116)</f>
        <v>#N/A</v>
      </c>
      <c r="F191" s="50" t="e">
        <f>_xlfn.TEXTJOIN(" / ", TRUE,_xlfn.XLOOKUP($G191,$N$5:$N$116,$O$5:$O$116), _xlfn.XLOOKUP($G191,$N$5:$N$116,$P$5:$P$116))</f>
        <v>#N/A</v>
      </c>
      <c r="G191" s="71" t="str">
        <f>C191</f>
        <v/>
      </c>
      <c r="H191" s="71"/>
      <c r="I191" s="13" t="e">
        <f>_xlfn.XLOOKUP($G191,$N$5:$N$116,$Q$5:$Q$116)</f>
        <v>#N/A</v>
      </c>
      <c r="M191" s="70"/>
      <c r="N191" s="25"/>
      <c r="O191" s="3"/>
      <c r="P191" s="3"/>
      <c r="Q191" s="3"/>
      <c r="R191" s="28"/>
      <c r="S191" s="3"/>
      <c r="T191" s="4"/>
      <c r="U191" s="3"/>
    </row>
    <row r="192" spans="2:21" ht="15.75" customHeight="1" x14ac:dyDescent="0.2">
      <c r="M192" s="70"/>
      <c r="N192" s="25"/>
      <c r="O192" s="3"/>
      <c r="P192" s="3"/>
      <c r="Q192" s="3"/>
      <c r="R192" s="28"/>
      <c r="S192" s="3"/>
      <c r="T192" s="4"/>
      <c r="U192" s="3"/>
    </row>
    <row r="193" spans="2:21" ht="15.75" customHeight="1" thickBot="1" x14ac:dyDescent="0.25">
      <c r="M193" s="70"/>
      <c r="N193" s="25"/>
      <c r="O193" s="3"/>
      <c r="P193" s="3"/>
      <c r="Q193" s="3"/>
      <c r="R193" s="28"/>
      <c r="S193" s="3"/>
      <c r="T193" s="4"/>
      <c r="U193" s="3"/>
    </row>
    <row r="194" spans="2:21" ht="15.75" customHeight="1" thickBot="1" x14ac:dyDescent="0.3">
      <c r="B194" s="93" t="s">
        <v>566</v>
      </c>
      <c r="C194" s="94"/>
      <c r="D194" s="95"/>
      <c r="E194" s="96"/>
      <c r="F194" s="97" t="str">
        <f>_xlfn.XLOOKUP(C195,$W$5:$W$29,$AA$5:$AA$29)</f>
        <v>(Switched) Misc Power1</v>
      </c>
      <c r="M194" s="70"/>
      <c r="N194" s="25"/>
      <c r="O194" s="3"/>
      <c r="P194" s="3"/>
      <c r="Q194" s="3"/>
      <c r="R194" s="28"/>
      <c r="S194" s="3"/>
      <c r="T194" s="4"/>
      <c r="U194" s="3"/>
    </row>
    <row r="195" spans="2:21" ht="15.75" customHeight="1" x14ac:dyDescent="0.25">
      <c r="B195" s="91" t="s">
        <v>560</v>
      </c>
      <c r="C195" s="89">
        <f>VALUE(RIGHT(B194,LEN(B194)-3))</f>
        <v>5</v>
      </c>
      <c r="D195" s="99"/>
      <c r="E195" s="99"/>
      <c r="F195" s="44"/>
      <c r="M195" s="70"/>
      <c r="N195" s="25"/>
      <c r="O195" s="3"/>
      <c r="P195" s="3"/>
      <c r="Q195" s="3"/>
      <c r="R195" s="28"/>
    </row>
    <row r="196" spans="2:21" ht="15.75" customHeight="1" x14ac:dyDescent="0.2">
      <c r="B196" s="91" t="s">
        <v>559</v>
      </c>
      <c r="C196" s="90" t="str">
        <f>_xlfn.XLOOKUP(C195,$W$5:$W$29,$X$5:$X$29)</f>
        <v>SC: 871-1C-S-D1-12VDC</v>
      </c>
      <c r="D196" s="11"/>
      <c r="E196" s="11"/>
      <c r="F196" s="44"/>
      <c r="M196" s="70"/>
      <c r="N196" s="25"/>
      <c r="O196" s="3"/>
      <c r="Q196"/>
      <c r="R196" s="28"/>
      <c r="T196" s="4"/>
    </row>
    <row r="197" spans="2:21" ht="12.75" x14ac:dyDescent="0.2">
      <c r="B197" s="92" t="s">
        <v>3</v>
      </c>
      <c r="C197" s="138" t="str">
        <f>_xlfn.XLOOKUP(C195,$W$5:$W$29,$AC$5:$AC$29)</f>
        <v>Provide battery power for fuses: 10- FT550, 11-LED Light bar, 12 +12V Sensors</v>
      </c>
      <c r="D197" s="138"/>
      <c r="E197" s="138"/>
      <c r="F197" s="139"/>
      <c r="M197" s="75"/>
      <c r="N197" s="76"/>
      <c r="O197" s="3"/>
      <c r="R197" s="28"/>
    </row>
    <row r="198" spans="2:21" ht="15.75" customHeight="1" x14ac:dyDescent="0.2">
      <c r="B198" s="47"/>
      <c r="C198" s="138"/>
      <c r="D198" s="138"/>
      <c r="E198" s="138"/>
      <c r="F198" s="139"/>
      <c r="M198" s="75"/>
      <c r="N198" s="76"/>
      <c r="O198" s="3"/>
      <c r="R198" s="28"/>
    </row>
    <row r="199" spans="2:21" ht="15.75" customHeight="1" x14ac:dyDescent="0.2">
      <c r="B199" s="47"/>
      <c r="C199" s="138"/>
      <c r="D199" s="138"/>
      <c r="E199" s="138"/>
      <c r="F199" s="139"/>
      <c r="M199" s="70"/>
      <c r="N199" s="25"/>
      <c r="O199" s="3"/>
      <c r="R199" s="28"/>
      <c r="U199" s="3"/>
    </row>
    <row r="200" spans="2:21" ht="15.75" customHeight="1" thickBot="1" x14ac:dyDescent="0.25">
      <c r="B200" s="84" t="s">
        <v>4</v>
      </c>
      <c r="C200" s="85" t="s">
        <v>11</v>
      </c>
      <c r="D200" s="85" t="s">
        <v>83</v>
      </c>
      <c r="E200" s="85" t="s">
        <v>84</v>
      </c>
      <c r="F200" s="86" t="s">
        <v>562</v>
      </c>
      <c r="G200" s="84" t="s">
        <v>11</v>
      </c>
      <c r="H200" s="85" t="s">
        <v>581</v>
      </c>
      <c r="I200" s="85" t="s">
        <v>90</v>
      </c>
      <c r="M200" s="70"/>
      <c r="N200" s="25"/>
      <c r="O200" s="3"/>
      <c r="R200" s="28"/>
      <c r="U200" s="3"/>
    </row>
    <row r="201" spans="2:21" ht="15.75" customHeight="1" x14ac:dyDescent="0.2">
      <c r="B201" s="77">
        <v>86</v>
      </c>
      <c r="C201" s="69" t="str">
        <f>_xlfn.TEXTJOIN(,TRUE,_xlfn.XLOOKUP(_xlfn.TEXTJOIN(,TRUE,$B194,"-P",$B201),$O$5:$O$116,$N$5:$N$116,""), _xlfn.XLOOKUP(_xlfn.TEXTJOIN(,TRUE,$B194,"-P",$B201),$P$5:$P$116,$N$5:$N$116, ""))</f>
        <v>L.10.69</v>
      </c>
      <c r="D201" s="69">
        <f>_xlfn.XLOOKUP($G201,$N$5:$N$116,$R$5:$R$116)</f>
        <v>20</v>
      </c>
      <c r="E201" s="69" t="str">
        <f>_xlfn.XLOOKUP($G201,$N$5:$N$116,$S$5:$S$116)</f>
        <v>RED</v>
      </c>
      <c r="F201" s="78" t="str">
        <f>_xlfn.TEXTJOIN(" / ", TRUE,_xlfn.XLOOKUP($G201,$N$5:$N$116,$O$5:$O$116), _xlfn.XLOOKUP($G201,$N$5:$N$116,$P$5:$P$116))</f>
        <v>J13 / RLY5-P86</v>
      </c>
      <c r="G201" s="71" t="str">
        <f>C201</f>
        <v>L.10.69</v>
      </c>
      <c r="H201" s="13">
        <f>_xlfn.XLOOKUP($G201,$N$5:$N$116,$M$5:$M$116)</f>
        <v>0.15</v>
      </c>
      <c r="I201" s="13" t="str">
        <f>_xlfn.XLOOKUP($G201,$N$5:$N$116,$Q$5:$Q$116)</f>
        <v>Relay 5 (MISC 1) Coil PWR (86)</v>
      </c>
    </row>
    <row r="202" spans="2:21" ht="12.75" x14ac:dyDescent="0.2">
      <c r="B202" s="14">
        <v>85</v>
      </c>
      <c r="C202" s="13" t="str">
        <f>_xlfn.TEXTJOIN(,TRUE,_xlfn.XLOOKUP(_xlfn.TEXTJOIN(,TRUE,$B194,"-P",$B202),$O$5:$O$116,$N$5:$N$116,""), _xlfn.XLOOKUP(_xlfn.TEXTJOIN(,TRUE,$B194,"-P",$B202),$P$5:$P$116,$N$5:$N$116, ""))</f>
        <v>L.10.63</v>
      </c>
      <c r="D202" s="13">
        <f>_xlfn.XLOOKUP($G202,$N$5:$N$116,$R$5:$R$116)</f>
        <v>22</v>
      </c>
      <c r="E202" s="13" t="str">
        <f>_xlfn.XLOOKUP($G202,$N$5:$N$116,$S$5:$S$116)</f>
        <v>BLACK</v>
      </c>
      <c r="F202" s="48" t="str">
        <f>_xlfn.TEXTJOIN(" / ", TRUE,_xlfn.XLOOKUP($G202,$N$5:$N$116,$O$5:$O$116), _xlfn.XLOOKUP($G202,$N$5:$N$116,$P$5:$P$116))</f>
        <v>RLY5-P85 / J12</v>
      </c>
      <c r="G202" s="71" t="str">
        <f>C202</f>
        <v>L.10.63</v>
      </c>
      <c r="H202" s="13">
        <f>_xlfn.XLOOKUP($G202,$N$5:$N$116,$M$5:$M$116)</f>
        <v>0.15</v>
      </c>
      <c r="I202" s="13" t="str">
        <f>_xlfn.XLOOKUP($G202,$N$5:$N$116,$Q$5:$Q$116)</f>
        <v>Relay 5 Coil GND - to Bat Neg</v>
      </c>
    </row>
    <row r="203" spans="2:21" ht="12.75" x14ac:dyDescent="0.2">
      <c r="B203" s="14">
        <v>30</v>
      </c>
      <c r="C203" s="13" t="str">
        <f>_xlfn.TEXTJOIN(,TRUE,_xlfn.XLOOKUP(_xlfn.TEXTJOIN(,TRUE,$B194,"-P",$B203),$O$5:$O$116,$N$5:$N$116,""), _xlfn.XLOOKUP(_xlfn.TEXTJOIN(,TRUE,$B194,"-P",$B203),$P$5:$P$116,$N$5:$N$116, ""))</f>
        <v>L.10.11</v>
      </c>
      <c r="D203" s="13">
        <f>_xlfn.XLOOKUP($G203,$N$5:$N$116,$R$5:$R$116)</f>
        <v>12</v>
      </c>
      <c r="E203" s="13" t="str">
        <f>_xlfn.XLOOKUP($G203,$N$5:$N$116,$S$5:$S$116)</f>
        <v>RED</v>
      </c>
      <c r="F203" s="48" t="str">
        <f>_xlfn.TEXTJOIN(" / ", TRUE,_xlfn.XLOOKUP($G203,$N$5:$N$116,$O$5:$O$116), _xlfn.XLOOKUP($G203,$N$5:$N$116,$P$5:$P$116))</f>
        <v>F5 / RLY5-P30</v>
      </c>
      <c r="G203" s="71" t="str">
        <f>C203</f>
        <v>L.10.11</v>
      </c>
      <c r="H203" s="13">
        <f>_xlfn.XLOOKUP($G203,$N$5:$N$116,$M$5:$M$116)</f>
        <v>23.15</v>
      </c>
      <c r="I203" s="13" t="str">
        <f>_xlfn.XLOOKUP($G203,$N$5:$N$116,$Q$5:$Q$116)</f>
        <v>Relay 5 (Misc 1) +12V Power Supply</v>
      </c>
    </row>
    <row r="204" spans="2:21" ht="15.75" customHeight="1" x14ac:dyDescent="0.2">
      <c r="B204" s="14">
        <v>87</v>
      </c>
      <c r="C204" s="13" t="str">
        <f>_xlfn.TEXTJOIN(,TRUE,_xlfn.XLOOKUP(_xlfn.TEXTJOIN(,TRUE,$B194,"-P",$B204),$O$5:$O$116,$N$5:$N$116,""), _xlfn.XLOOKUP(_xlfn.TEXTJOIN(,TRUE,$B194,"-P",$B204),$P$5:$P$116,$N$5:$N$116, ""))</f>
        <v>L.10.71</v>
      </c>
      <c r="D204" s="13">
        <f>_xlfn.XLOOKUP($G204,$N$5:$N$116,$R$5:$R$116)</f>
        <v>12</v>
      </c>
      <c r="E204" s="13" t="str">
        <f>_xlfn.XLOOKUP($G204,$N$5:$N$116,$S$5:$S$116)</f>
        <v>RED</v>
      </c>
      <c r="F204" s="48" t="str">
        <f>_xlfn.TEXTJOIN(" / ", TRUE,_xlfn.XLOOKUP($G204,$N$5:$N$116,$O$5:$O$116), _xlfn.XLOOKUP($G204,$N$5:$N$116,$P$5:$P$116))</f>
        <v>RLY5-P87 / J14</v>
      </c>
      <c r="G204" s="71" t="str">
        <f>C204</f>
        <v>L.10.71</v>
      </c>
      <c r="H204" s="13">
        <f>_xlfn.XLOOKUP($G204,$N$5:$N$116,$M$5:$M$116)</f>
        <v>23.15</v>
      </c>
      <c r="I204" s="13" t="str">
        <f>_xlfn.XLOOKUP($G204,$N$5:$N$116,$Q$5:$Q$116)</f>
        <v>Relay 5 - On Power (Pin 87)</v>
      </c>
    </row>
    <row r="205" spans="2:21" ht="15.75" customHeight="1" thickBot="1" x14ac:dyDescent="0.25">
      <c r="B205" s="67" t="s">
        <v>561</v>
      </c>
      <c r="C205" s="16" t="str">
        <f>_xlfn.TEXTJOIN(,TRUE,_xlfn.XLOOKUP(_xlfn.TEXTJOIN(,TRUE,$B194,"-P",$B205),$O$5:$O$116,$N$5:$N$116,""), _xlfn.XLOOKUP(_xlfn.TEXTJOIN(,TRUE,$B194,"-P",$B205),$P$5:$P$116,$N$5:$N$116, ""))</f>
        <v/>
      </c>
      <c r="D205" s="16" t="e">
        <f>_xlfn.XLOOKUP($G205,$N$5:$N$116,$R$5:$R$116)</f>
        <v>#N/A</v>
      </c>
      <c r="E205" s="16" t="e">
        <f>_xlfn.XLOOKUP($G205,$N$5:$N$116,$S$5:$S$116)</f>
        <v>#N/A</v>
      </c>
      <c r="F205" s="50" t="e">
        <f>_xlfn.TEXTJOIN(" / ", TRUE,_xlfn.XLOOKUP($G205,$N$5:$N$116,$O$5:$O$116), _xlfn.XLOOKUP($G205,$N$5:$N$116,$P$5:$P$116))</f>
        <v>#N/A</v>
      </c>
      <c r="G205" s="71" t="str">
        <f>C205</f>
        <v/>
      </c>
      <c r="H205" s="13" t="e">
        <f>_xlfn.XLOOKUP($G205,$N$5:$N$116,$M$5:$M$116)</f>
        <v>#N/A</v>
      </c>
      <c r="I205" s="13" t="e">
        <f>_xlfn.XLOOKUP($G205,$N$5:$N$116,$Q$5:$Q$116)</f>
        <v>#N/A</v>
      </c>
    </row>
    <row r="207" spans="2:21" ht="15.75" customHeight="1" thickBot="1" x14ac:dyDescent="0.25"/>
    <row r="208" spans="2:21" ht="15.75" customHeight="1" thickBot="1" x14ac:dyDescent="0.3">
      <c r="B208" s="93" t="s">
        <v>567</v>
      </c>
      <c r="C208" s="94"/>
      <c r="D208" s="95"/>
      <c r="E208" s="96"/>
      <c r="F208" s="97" t="str">
        <f>_xlfn.XLOOKUP(C209,$W$5:$W$29,$AA$5:$AA$29)</f>
        <v>(Switched) Misc Power 2</v>
      </c>
    </row>
    <row r="209" spans="2:9" x14ac:dyDescent="0.25">
      <c r="B209" s="91" t="s">
        <v>560</v>
      </c>
      <c r="C209" s="89">
        <f>VALUE(RIGHT(B208,LEN(B208)-3))</f>
        <v>6</v>
      </c>
      <c r="D209" s="99"/>
      <c r="E209" s="99"/>
      <c r="F209" s="44"/>
    </row>
    <row r="210" spans="2:9" ht="15.75" customHeight="1" x14ac:dyDescent="0.2">
      <c r="B210" s="91" t="s">
        <v>559</v>
      </c>
      <c r="C210" s="90" t="str">
        <f>_xlfn.XLOOKUP(C209,$W$5:$W$29,$X$5:$X$29)</f>
        <v>SC: 871-1C-S-D1-12VDC</v>
      </c>
      <c r="D210" s="11"/>
      <c r="E210" s="11"/>
      <c r="F210" s="44"/>
    </row>
    <row r="211" spans="2:9" ht="15.75" customHeight="1" x14ac:dyDescent="0.2">
      <c r="B211" s="92" t="s">
        <v>3</v>
      </c>
      <c r="C211" s="138" t="str">
        <f>_xlfn.XLOOKUP(C209,$W$5:$W$29,$AC$5:$AC$29)</f>
        <v>Provide battery power for fuses: 13- Tail and illumination power, 14-brake &amp; turn signal power, 15 start ignition power.</v>
      </c>
      <c r="D211" s="138"/>
      <c r="E211" s="138"/>
      <c r="F211" s="139"/>
    </row>
    <row r="212" spans="2:9" ht="15.75" customHeight="1" x14ac:dyDescent="0.2">
      <c r="B212" s="47"/>
      <c r="C212" s="138"/>
      <c r="D212" s="138"/>
      <c r="E212" s="138"/>
      <c r="F212" s="139"/>
    </row>
    <row r="213" spans="2:9" ht="12.75" x14ac:dyDescent="0.2">
      <c r="B213" s="47"/>
      <c r="C213" s="138"/>
      <c r="D213" s="138"/>
      <c r="E213" s="138"/>
      <c r="F213" s="139"/>
    </row>
    <row r="214" spans="2:9" ht="15.75" customHeight="1" thickBot="1" x14ac:dyDescent="0.25">
      <c r="B214" s="84" t="s">
        <v>4</v>
      </c>
      <c r="C214" s="85" t="s">
        <v>11</v>
      </c>
      <c r="D214" s="85" t="s">
        <v>83</v>
      </c>
      <c r="E214" s="85" t="s">
        <v>84</v>
      </c>
      <c r="F214" s="86" t="s">
        <v>562</v>
      </c>
      <c r="G214" s="84" t="s">
        <v>11</v>
      </c>
      <c r="H214" s="85" t="s">
        <v>581</v>
      </c>
      <c r="I214" s="85" t="s">
        <v>90</v>
      </c>
    </row>
    <row r="215" spans="2:9" ht="15.75" customHeight="1" x14ac:dyDescent="0.2">
      <c r="B215" s="77">
        <v>86</v>
      </c>
      <c r="C215" s="69" t="str">
        <f>_xlfn.TEXTJOIN(,TRUE,_xlfn.XLOOKUP(_xlfn.TEXTJOIN(,TRUE,$B208,"-P",$B215),$O$5:$O$116,$N$5:$N$116,""), _xlfn.XLOOKUP(_xlfn.TEXTJOIN(,TRUE,$B208,"-P",$B215),$P$5:$P$116,$N$5:$N$116, ""))</f>
        <v>L.10.70</v>
      </c>
      <c r="D215" s="69">
        <f>_xlfn.XLOOKUP($G215,$N$5:$N$116,$R$5:$R$116)</f>
        <v>20</v>
      </c>
      <c r="E215" s="69" t="str">
        <f>_xlfn.XLOOKUP($G215,$N$5:$N$116,$S$5:$S$116)</f>
        <v>RED</v>
      </c>
      <c r="F215" s="78" t="str">
        <f>_xlfn.TEXTJOIN(" / ", TRUE,_xlfn.XLOOKUP($G215,$N$5:$N$116,$O$5:$O$116), _xlfn.XLOOKUP($G215,$N$5:$N$116,$P$5:$P$116))</f>
        <v>J13 / RLY6-P86</v>
      </c>
      <c r="G215" s="71" t="str">
        <f>C215</f>
        <v>L.10.70</v>
      </c>
      <c r="H215" s="13">
        <f>_xlfn.XLOOKUP($G215,$N$5:$N$116,$M$5:$M$116)</f>
        <v>0.15</v>
      </c>
      <c r="I215" s="13" t="str">
        <f>_xlfn.XLOOKUP($G215,$N$5:$N$116,$Q$5:$Q$116)</f>
        <v>Relay 6 (MISC 2) Coil PWR (86)</v>
      </c>
    </row>
    <row r="216" spans="2:9" ht="15.75" customHeight="1" x14ac:dyDescent="0.2">
      <c r="B216" s="14">
        <v>85</v>
      </c>
      <c r="C216" s="13" t="str">
        <f>_xlfn.TEXTJOIN(,TRUE,_xlfn.XLOOKUP(_xlfn.TEXTJOIN(,TRUE,$B208,"-P",$B216),$O$5:$O$116,$N$5:$N$116,""), _xlfn.XLOOKUP(_xlfn.TEXTJOIN(,TRUE,$B208,"-P",$B216),$P$5:$P$116,$N$5:$N$116, ""))</f>
        <v>L.10.64</v>
      </c>
      <c r="D216" s="13">
        <f>_xlfn.XLOOKUP($G216,$N$5:$N$116,$R$5:$R$116)</f>
        <v>22</v>
      </c>
      <c r="E216" s="13" t="str">
        <f>_xlfn.XLOOKUP($G216,$N$5:$N$116,$S$5:$S$116)</f>
        <v>BLACK</v>
      </c>
      <c r="F216" s="48" t="str">
        <f>_xlfn.TEXTJOIN(" / ", TRUE,_xlfn.XLOOKUP($G216,$N$5:$N$116,$O$5:$O$116), _xlfn.XLOOKUP($G216,$N$5:$N$116,$P$5:$P$116))</f>
        <v>RLY6-P85 / J12</v>
      </c>
      <c r="G216" s="71" t="str">
        <f>C216</f>
        <v>L.10.64</v>
      </c>
      <c r="H216" s="13">
        <f>_xlfn.XLOOKUP($G216,$N$5:$N$116,$M$5:$M$116)</f>
        <v>0.15</v>
      </c>
      <c r="I216" s="13" t="str">
        <f>_xlfn.XLOOKUP($G216,$N$5:$N$116,$Q$5:$Q$116)</f>
        <v>Relay 6 Coil GND - to Bat Neg</v>
      </c>
    </row>
    <row r="217" spans="2:9" ht="15.75" customHeight="1" x14ac:dyDescent="0.2">
      <c r="B217" s="14">
        <v>30</v>
      </c>
      <c r="C217" s="13" t="str">
        <f>_xlfn.TEXTJOIN(,TRUE,_xlfn.XLOOKUP(_xlfn.TEXTJOIN(,TRUE,$B208,"-P",$B217),$O$5:$O$116,$N$5:$N$116,""), _xlfn.XLOOKUP(_xlfn.TEXTJOIN(,TRUE,$B208,"-P",$B217),$P$5:$P$116,$N$5:$N$116, ""))</f>
        <v>L.10.12</v>
      </c>
      <c r="D217" s="13">
        <f>_xlfn.XLOOKUP($G217,$N$5:$N$116,$R$5:$R$116)</f>
        <v>12</v>
      </c>
      <c r="E217" s="13" t="str">
        <f>_xlfn.XLOOKUP($G217,$N$5:$N$116,$S$5:$S$116)</f>
        <v>RED</v>
      </c>
      <c r="F217" s="48" t="str">
        <f>_xlfn.TEXTJOIN(" / ", TRUE,_xlfn.XLOOKUP($G217,$N$5:$N$116,$O$5:$O$116), _xlfn.XLOOKUP($G217,$N$5:$N$116,$P$5:$P$116))</f>
        <v>F6 / RLY6-P30</v>
      </c>
      <c r="G217" s="71" t="str">
        <f>C217</f>
        <v>L.10.12</v>
      </c>
      <c r="H217" s="13">
        <f>_xlfn.XLOOKUP($G217,$N$5:$N$116,$M$5:$M$116)</f>
        <v>22.15</v>
      </c>
      <c r="I217" s="13" t="str">
        <f>_xlfn.XLOOKUP($G217,$N$5:$N$116,$Q$5:$Q$116)</f>
        <v>Relay 6 (Misc 2) +12V Power Supply</v>
      </c>
    </row>
    <row r="218" spans="2:9" ht="15.75" customHeight="1" x14ac:dyDescent="0.2">
      <c r="B218" s="14">
        <v>87</v>
      </c>
      <c r="C218" s="13" t="str">
        <f>_xlfn.TEXTJOIN(,TRUE,_xlfn.XLOOKUP(_xlfn.TEXTJOIN(,TRUE,$B208,"-P",$B218),$O$5:$O$116,$N$5:$N$116,""), _xlfn.XLOOKUP(_xlfn.TEXTJOIN(,TRUE,$B208,"-P",$B218),$P$5:$P$116,$N$5:$N$116, ""))</f>
        <v>L.10.84</v>
      </c>
      <c r="D218" s="13">
        <f>_xlfn.XLOOKUP($G218,$N$5:$N$116,$R$5:$R$116)</f>
        <v>12</v>
      </c>
      <c r="E218" s="13" t="str">
        <f>_xlfn.XLOOKUP($G218,$N$5:$N$116,$S$5:$S$116)</f>
        <v>RED</v>
      </c>
      <c r="F218" s="48" t="str">
        <f>_xlfn.TEXTJOIN(" / ", TRUE,_xlfn.XLOOKUP($G218,$N$5:$N$116,$O$5:$O$116), _xlfn.XLOOKUP($G218,$N$5:$N$116,$P$5:$P$116))</f>
        <v>RLY6-P87 / J16</v>
      </c>
      <c r="G218" s="71" t="str">
        <f>C218</f>
        <v>L.10.84</v>
      </c>
      <c r="H218" s="13">
        <f>_xlfn.XLOOKUP($G218,$N$5:$N$116,$M$5:$M$116)</f>
        <v>22.15</v>
      </c>
      <c r="I218" s="13" t="str">
        <f>_xlfn.XLOOKUP($G218,$N$5:$N$116,$Q$5:$Q$116)</f>
        <v>Relay 6 - On Power (Pin 87)</v>
      </c>
    </row>
    <row r="219" spans="2:9" ht="15.75" customHeight="1" thickBot="1" x14ac:dyDescent="0.25">
      <c r="B219" s="67" t="s">
        <v>561</v>
      </c>
      <c r="C219" s="16" t="str">
        <f>_xlfn.TEXTJOIN(,TRUE,_xlfn.XLOOKUP(_xlfn.TEXTJOIN(,TRUE,$B208,"-P",$B219),$O$5:$O$116,$N$5:$N$116,""), _xlfn.XLOOKUP(_xlfn.TEXTJOIN(,TRUE,$B208,"-P",$B219),$P$5:$P$116,$N$5:$N$116, ""))</f>
        <v/>
      </c>
      <c r="D219" s="16" t="e">
        <f>_xlfn.XLOOKUP($G219,$N$5:$N$116,$R$5:$R$116)</f>
        <v>#N/A</v>
      </c>
      <c r="E219" s="16" t="e">
        <f>_xlfn.XLOOKUP($G219,$N$5:$N$116,$S$5:$S$116)</f>
        <v>#N/A</v>
      </c>
      <c r="F219" s="50" t="e">
        <f>_xlfn.TEXTJOIN(" / ", TRUE,_xlfn.XLOOKUP($G219,$N$5:$N$116,$O$5:$O$116), _xlfn.XLOOKUP($G219,$N$5:$N$116,$P$5:$P$116))</f>
        <v>#N/A</v>
      </c>
      <c r="G219" s="71" t="str">
        <f>C219</f>
        <v/>
      </c>
      <c r="H219" s="13" t="e">
        <f>_xlfn.XLOOKUP($G219,$N$5:$N$116,$M$5:$M$116)</f>
        <v>#N/A</v>
      </c>
      <c r="I219" s="13" t="e">
        <f>_xlfn.XLOOKUP($G219,$N$5:$N$116,$Q$5:$Q$116)</f>
        <v>#N/A</v>
      </c>
    </row>
    <row r="221" spans="2:9" ht="15.75" customHeight="1" thickBot="1" x14ac:dyDescent="0.25"/>
    <row r="222" spans="2:9" ht="15.75" customHeight="1" thickBot="1" x14ac:dyDescent="0.3">
      <c r="B222" s="93" t="s">
        <v>568</v>
      </c>
      <c r="C222" s="94"/>
      <c r="D222" s="95"/>
      <c r="E222" s="96"/>
      <c r="F222" s="97" t="str">
        <f>_xlfn.XLOOKUP(C223,$W$5:$W$29,$AA$5:$AA$29)</f>
        <v>Fuel Pump</v>
      </c>
    </row>
    <row r="223" spans="2:9" ht="15.75" customHeight="1" x14ac:dyDescent="0.25">
      <c r="B223" s="91" t="s">
        <v>560</v>
      </c>
      <c r="C223" s="89">
        <f>VALUE(RIGHT(B222,LEN(B222)-3))</f>
        <v>7</v>
      </c>
      <c r="D223" s="99"/>
      <c r="E223" s="99"/>
      <c r="F223" s="44"/>
    </row>
    <row r="224" spans="2:9" ht="12.75" x14ac:dyDescent="0.2">
      <c r="B224" s="91" t="s">
        <v>559</v>
      </c>
      <c r="C224" s="90" t="str">
        <f>_xlfn.XLOOKUP(C223,$W$5:$W$29,$X$5:$X$29)</f>
        <v>SC: 108-1AH-D-R1</v>
      </c>
      <c r="D224" s="11"/>
      <c r="E224" s="11"/>
      <c r="F224" s="44"/>
    </row>
    <row r="225" spans="2:9" ht="12.75" x14ac:dyDescent="0.2">
      <c r="B225" s="92" t="s">
        <v>3</v>
      </c>
      <c r="C225" s="138" t="str">
        <f>_xlfn.XLOOKUP(C223,$W$5:$W$29,$AC$5:$AC$29)</f>
        <v>Turns fuel pump on and off based on ECU output.</v>
      </c>
      <c r="D225" s="138"/>
      <c r="E225" s="138"/>
      <c r="F225" s="139"/>
    </row>
    <row r="226" spans="2:9" ht="15.75" customHeight="1" x14ac:dyDescent="0.2">
      <c r="B226" s="47"/>
      <c r="C226" s="138"/>
      <c r="D226" s="138"/>
      <c r="E226" s="138"/>
      <c r="F226" s="139"/>
    </row>
    <row r="227" spans="2:9" ht="15.75" customHeight="1" x14ac:dyDescent="0.2">
      <c r="B227" s="47"/>
      <c r="C227" s="138"/>
      <c r="D227" s="138"/>
      <c r="E227" s="138"/>
      <c r="F227" s="139"/>
    </row>
    <row r="228" spans="2:9" ht="13.5" thickBot="1" x14ac:dyDescent="0.25">
      <c r="B228" s="84" t="s">
        <v>4</v>
      </c>
      <c r="C228" s="85" t="s">
        <v>11</v>
      </c>
      <c r="D228" s="85" t="s">
        <v>83</v>
      </c>
      <c r="E228" s="85" t="s">
        <v>84</v>
      </c>
      <c r="F228" s="86" t="s">
        <v>562</v>
      </c>
      <c r="G228" s="84" t="s">
        <v>11</v>
      </c>
      <c r="H228" s="85" t="s">
        <v>581</v>
      </c>
      <c r="I228" s="85" t="s">
        <v>90</v>
      </c>
    </row>
    <row r="229" spans="2:9" ht="15.75" customHeight="1" x14ac:dyDescent="0.2">
      <c r="B229" s="77">
        <v>86</v>
      </c>
      <c r="C229" s="69" t="str">
        <f>_xlfn.TEXTJOIN(,TRUE,_xlfn.XLOOKUP(_xlfn.TEXTJOIN(,TRUE,$B222,"-P",$B229),$O$5:$O$116,$N$5:$N$116,""), _xlfn.XLOOKUP(_xlfn.TEXTJOIN(,TRUE,$B222,"-P",$B229),$P$5:$P$116,$N$5:$N$116, ""))</f>
        <v>L.10.21</v>
      </c>
      <c r="D229" s="69">
        <f>_xlfn.XLOOKUP($G229,$N$5:$N$116,$R$5:$R$116)</f>
        <v>16</v>
      </c>
      <c r="E229" s="69" t="str">
        <f>_xlfn.XLOOKUP($G229,$N$5:$N$116,$S$5:$S$116)</f>
        <v>RED</v>
      </c>
      <c r="F229" s="78" t="str">
        <f>_xlfn.TEXTJOIN(" / ", TRUE,_xlfn.XLOOKUP($G229,$N$5:$N$116,$O$5:$O$116), _xlfn.XLOOKUP($G229,$N$5:$N$116,$P$5:$P$116))</f>
        <v>J3 / RLY7-P86</v>
      </c>
      <c r="G229" s="71" t="str">
        <f>C229</f>
        <v>L.10.21</v>
      </c>
      <c r="H229" s="13">
        <f>_xlfn.XLOOKUP($G229,$N$5:$N$116,$M$5:$M$116)</f>
        <v>0.15</v>
      </c>
      <c r="I229" s="13" t="str">
        <f>_xlfn.XLOOKUP($G229,$N$5:$N$116,$Q$5:$Q$116)</f>
        <v>Fuse 8 Pwr for Relay 7 Coil PWR</v>
      </c>
    </row>
    <row r="230" spans="2:9" ht="15.75" customHeight="1" x14ac:dyDescent="0.2">
      <c r="B230" s="14">
        <v>85</v>
      </c>
      <c r="C230" s="13" t="str">
        <f>_xlfn.TEXTJOIN(,TRUE,_xlfn.XLOOKUP(_xlfn.TEXTJOIN(,TRUE,$B222,"-P",$B230),$O$5:$O$116,$N$5:$N$116,""), _xlfn.XLOOKUP(_xlfn.TEXTJOIN(,TRUE,$B222,"-P",$B230),$P$5:$P$116,$N$5:$N$116, ""))</f>
        <v>L.10.27</v>
      </c>
      <c r="D230" s="13">
        <f>_xlfn.XLOOKUP($G230,$N$5:$N$116,$R$5:$R$116)</f>
        <v>20</v>
      </c>
      <c r="E230" s="13" t="str">
        <f>_xlfn.XLOOKUP($G230,$N$5:$N$116,$S$5:$S$116)</f>
        <v>BLUE</v>
      </c>
      <c r="F230" s="48" t="str">
        <f>_xlfn.TEXTJOIN(" / ", TRUE,_xlfn.XLOOKUP($G230,$N$5:$N$116,$O$5:$O$116), _xlfn.XLOOKUP($G230,$N$5:$N$116,$P$5:$P$116))</f>
        <v>RLY7-P85 / P5-C2</v>
      </c>
      <c r="G230" s="71" t="str">
        <f>C230</f>
        <v>L.10.27</v>
      </c>
      <c r="H230" s="13">
        <f>_xlfn.XLOOKUP($G230,$N$5:$N$116,$M$5:$M$116)</f>
        <v>0.15</v>
      </c>
      <c r="I230" s="13" t="str">
        <f>_xlfn.XLOOKUP($G230,$N$5:$N$116,$Q$5:$Q$116)</f>
        <v>Fuel Pump ECU Trigger</v>
      </c>
    </row>
    <row r="231" spans="2:9" ht="15.75" customHeight="1" x14ac:dyDescent="0.2">
      <c r="B231" s="14">
        <v>30</v>
      </c>
      <c r="C231" s="13" t="str">
        <f>_xlfn.TEXTJOIN(,TRUE,_xlfn.XLOOKUP(_xlfn.TEXTJOIN(,TRUE,$B222,"-P",$B231),$O$5:$O$116,$N$5:$N$116,""), _xlfn.XLOOKUP(_xlfn.TEXTJOIN(,TRUE,$B222,"-P",$B231),$P$5:$P$116,$N$5:$N$116, ""))</f>
        <v>L.10.22</v>
      </c>
      <c r="D231" s="13">
        <f>_xlfn.XLOOKUP($G231,$N$5:$N$116,$R$5:$R$116)</f>
        <v>16</v>
      </c>
      <c r="E231" s="13" t="str">
        <f>_xlfn.XLOOKUP($G231,$N$5:$N$116,$S$5:$S$116)</f>
        <v>RED</v>
      </c>
      <c r="F231" s="48" t="str">
        <f>_xlfn.TEXTJOIN(" / ", TRUE,_xlfn.XLOOKUP($G231,$N$5:$N$116,$O$5:$O$116), _xlfn.XLOOKUP($G231,$N$5:$N$116,$P$5:$P$116))</f>
        <v>J3 / RLY7-P30</v>
      </c>
      <c r="G231" s="71" t="str">
        <f>C231</f>
        <v>L.10.22</v>
      </c>
      <c r="H231" s="13">
        <f>_xlfn.XLOOKUP($G231,$N$5:$N$116,$M$5:$M$116)</f>
        <v>5.75</v>
      </c>
      <c r="I231" s="13" t="str">
        <f>_xlfn.XLOOKUP($G231,$N$5:$N$116,$Q$5:$Q$116)</f>
        <v>Fuse 8 Pwr for Switched PWR (Fuel Pump)</v>
      </c>
    </row>
    <row r="232" spans="2:9" ht="15.75" customHeight="1" x14ac:dyDescent="0.2">
      <c r="B232" s="14">
        <v>87</v>
      </c>
      <c r="C232" s="13" t="str">
        <f>_xlfn.TEXTJOIN(,TRUE,_xlfn.XLOOKUP(_xlfn.TEXTJOIN(,TRUE,$B222,"-P",$B232),$O$5:$O$116,$N$5:$N$116,""), _xlfn.XLOOKUP(_xlfn.TEXTJOIN(,TRUE,$B222,"-P",$B232),$P$5:$P$116,$N$5:$N$116, ""))</f>
        <v>L.10.25</v>
      </c>
      <c r="D232" s="13">
        <f>_xlfn.XLOOKUP($G232,$N$5:$N$116,$R$5:$R$116)</f>
        <v>14</v>
      </c>
      <c r="E232" s="13" t="str">
        <f>_xlfn.XLOOKUP($G232,$N$5:$N$116,$S$5:$S$116)</f>
        <v>RED</v>
      </c>
      <c r="F232" s="48" t="str">
        <f>_xlfn.TEXTJOIN(" / ", TRUE,_xlfn.XLOOKUP($G232,$N$5:$N$116,$O$5:$O$116), _xlfn.XLOOKUP($G232,$N$5:$N$116,$P$5:$P$116))</f>
        <v>RLY7-P87 / P5-C1</v>
      </c>
      <c r="G232" s="71" t="str">
        <f>C232</f>
        <v>L.10.25</v>
      </c>
      <c r="H232" s="13">
        <f>_xlfn.XLOOKUP($G232,$N$5:$N$116,$M$5:$M$116)</f>
        <v>5.75</v>
      </c>
      <c r="I232" s="13" t="str">
        <f>_xlfn.XLOOKUP($G232,$N$5:$N$116,$Q$5:$Q$116)</f>
        <v>Fuel Pump PWR</v>
      </c>
    </row>
    <row r="233" spans="2:9" ht="15.75" customHeight="1" thickBot="1" x14ac:dyDescent="0.25">
      <c r="B233" s="67" t="s">
        <v>561</v>
      </c>
      <c r="C233" s="16" t="str">
        <f>_xlfn.TEXTJOIN(,TRUE,_xlfn.XLOOKUP(_xlfn.TEXTJOIN(,TRUE,$B222,"-P",$B233),$O$5:$O$116,$N$5:$N$116,""), _xlfn.XLOOKUP(_xlfn.TEXTJOIN(,TRUE,$B222,"-P",$B233),$P$5:$P$116,$N$5:$N$116, ""))</f>
        <v/>
      </c>
      <c r="D233" s="16" t="e">
        <f>_xlfn.XLOOKUP($G233,$N$5:$N$116,$R$5:$R$116)</f>
        <v>#N/A</v>
      </c>
      <c r="E233" s="16" t="e">
        <f>_xlfn.XLOOKUP($G233,$N$5:$N$116,$S$5:$S$116)</f>
        <v>#N/A</v>
      </c>
      <c r="F233" s="50" t="e">
        <f>_xlfn.TEXTJOIN(" / ", TRUE,_xlfn.XLOOKUP($G233,$N$5:$N$116,$O$5:$O$116), _xlfn.XLOOKUP($G233,$N$5:$N$116,$P$5:$P$116))</f>
        <v>#N/A</v>
      </c>
      <c r="G233" s="71" t="str">
        <f>C233</f>
        <v/>
      </c>
      <c r="H233" s="13" t="e">
        <f>_xlfn.XLOOKUP($G233,$N$5:$N$116,$M$5:$M$116)</f>
        <v>#N/A</v>
      </c>
      <c r="I233" s="13" t="e">
        <f>_xlfn.XLOOKUP($G233,$N$5:$N$116,$Q$5:$Q$116)</f>
        <v>#N/A</v>
      </c>
    </row>
    <row r="235" spans="2:9" ht="15.75" customHeight="1" thickBot="1" x14ac:dyDescent="0.25"/>
    <row r="236" spans="2:9" ht="15.75" customHeight="1" thickBot="1" x14ac:dyDescent="0.3">
      <c r="B236" s="93" t="s">
        <v>569</v>
      </c>
      <c r="C236" s="94"/>
      <c r="D236" s="95"/>
      <c r="E236" s="96"/>
      <c r="F236" s="97" t="str">
        <f>_xlfn.XLOOKUP(C237,$W$5:$W$29,$AA$5:$AA$29)</f>
        <v>Fan</v>
      </c>
    </row>
    <row r="237" spans="2:9" x14ac:dyDescent="0.25">
      <c r="B237" s="91" t="s">
        <v>560</v>
      </c>
      <c r="C237" s="89">
        <f>VALUE(RIGHT(B236,LEN(B236)-3))</f>
        <v>8</v>
      </c>
      <c r="D237" s="99"/>
      <c r="E237" s="99"/>
      <c r="F237" s="44"/>
    </row>
    <row r="238" spans="2:9" ht="15.75" customHeight="1" x14ac:dyDescent="0.2">
      <c r="B238" s="91" t="s">
        <v>559</v>
      </c>
      <c r="C238" s="90" t="str">
        <f>_xlfn.XLOOKUP(C237,$W$5:$W$29,$X$5:$X$29)</f>
        <v>SC: 871-1C-S-D1-12VDC</v>
      </c>
      <c r="D238" s="11"/>
      <c r="E238" s="11"/>
      <c r="F238" s="44"/>
    </row>
    <row r="239" spans="2:9" ht="15.75" customHeight="1" x14ac:dyDescent="0.2">
      <c r="B239" s="92" t="s">
        <v>3</v>
      </c>
      <c r="C239" s="138" t="str">
        <f>_xlfn.XLOOKUP(C237,$W$5:$W$29,$AC$5:$AC$29)</f>
        <v>Turns on the cooling fans triggered by ECU.</v>
      </c>
      <c r="D239" s="138"/>
      <c r="E239" s="138"/>
      <c r="F239" s="139"/>
    </row>
    <row r="240" spans="2:9" ht="15.75" customHeight="1" x14ac:dyDescent="0.2">
      <c r="B240" s="47"/>
      <c r="C240" s="138"/>
      <c r="D240" s="138"/>
      <c r="E240" s="138"/>
      <c r="F240" s="139"/>
    </row>
    <row r="241" spans="2:9" ht="15.75" customHeight="1" x14ac:dyDescent="0.2">
      <c r="B241" s="47"/>
      <c r="C241" s="138"/>
      <c r="D241" s="138"/>
      <c r="E241" s="138"/>
      <c r="F241" s="139"/>
    </row>
    <row r="242" spans="2:9" ht="15.75" customHeight="1" thickBot="1" x14ac:dyDescent="0.25">
      <c r="B242" s="84" t="s">
        <v>4</v>
      </c>
      <c r="C242" s="85" t="s">
        <v>11</v>
      </c>
      <c r="D242" s="85" t="s">
        <v>83</v>
      </c>
      <c r="E242" s="85" t="s">
        <v>84</v>
      </c>
      <c r="F242" s="86" t="s">
        <v>562</v>
      </c>
      <c r="G242" s="84" t="s">
        <v>11</v>
      </c>
      <c r="H242" s="85" t="s">
        <v>581</v>
      </c>
      <c r="I242" s="85" t="s">
        <v>90</v>
      </c>
    </row>
    <row r="243" spans="2:9" ht="15.75" customHeight="1" x14ac:dyDescent="0.2">
      <c r="B243" s="77">
        <v>86</v>
      </c>
      <c r="C243" s="69" t="str">
        <f>_xlfn.TEXTJOIN(,TRUE,_xlfn.XLOOKUP(_xlfn.TEXTJOIN(,TRUE,$B236,"-P",$B243),$O$5:$O$116,$N$5:$N$116,""), _xlfn.XLOOKUP(_xlfn.TEXTJOIN(,TRUE,$B236,"-P",$B243),$P$5:$P$116,$N$5:$N$116, ""))</f>
        <v>L.10.29</v>
      </c>
      <c r="D243" s="69">
        <f>_xlfn.XLOOKUP($G243,$N$5:$N$116,$R$5:$R$116)</f>
        <v>20</v>
      </c>
      <c r="E243" s="69" t="str">
        <f>_xlfn.XLOOKUP($G243,$N$5:$N$116,$S$5:$S$116)</f>
        <v>RED</v>
      </c>
      <c r="F243" s="78" t="str">
        <f>_xlfn.TEXTJOIN(" / ", TRUE,_xlfn.XLOOKUP($G243,$N$5:$N$116,$O$5:$O$116), _xlfn.XLOOKUP($G243,$N$5:$N$116,$P$5:$P$116))</f>
        <v>J6 / RLY8-P86</v>
      </c>
      <c r="G243" s="71" t="str">
        <f>C243</f>
        <v>L.10.29</v>
      </c>
      <c r="H243" s="13">
        <f>_xlfn.XLOOKUP($G243,$N$5:$N$116,$M$5:$M$116)</f>
        <v>0.15</v>
      </c>
      <c r="I243" s="13" t="str">
        <f>_xlfn.XLOOKUP($G243,$N$5:$N$116,$Q$5:$Q$116)</f>
        <v>Fan Trigger Relay - Coil PWR</v>
      </c>
    </row>
    <row r="244" spans="2:9" ht="15.75" customHeight="1" x14ac:dyDescent="0.2">
      <c r="B244" s="14">
        <v>85</v>
      </c>
      <c r="C244" s="13" t="str">
        <f>_xlfn.TEXTJOIN(,TRUE,_xlfn.XLOOKUP(_xlfn.TEXTJOIN(,TRUE,$B236,"-P",$B244),$O$5:$O$116,$N$5:$N$116,""), _xlfn.XLOOKUP(_xlfn.TEXTJOIN(,TRUE,$B236,"-P",$B244),$P$5:$P$116,$N$5:$N$116, ""))</f>
        <v>L.10.31</v>
      </c>
      <c r="D244" s="13">
        <f>_xlfn.XLOOKUP($G244,$N$5:$N$116,$R$5:$R$116)</f>
        <v>20</v>
      </c>
      <c r="E244" s="13" t="str">
        <f>_xlfn.XLOOKUP($G244,$N$5:$N$116,$S$5:$S$116)</f>
        <v>BLUE</v>
      </c>
      <c r="F244" s="48" t="str">
        <f>_xlfn.TEXTJOIN(" / ", TRUE,_xlfn.XLOOKUP($G244,$N$5:$N$116,$O$5:$O$116), _xlfn.XLOOKUP($G244,$N$5:$N$116,$P$5:$P$116))</f>
        <v>RLY8-P85 / P6-C2</v>
      </c>
      <c r="G244" s="71" t="str">
        <f>C244</f>
        <v>L.10.31</v>
      </c>
      <c r="H244" s="13">
        <f>_xlfn.XLOOKUP($G244,$N$5:$N$116,$M$5:$M$116)</f>
        <v>0.15</v>
      </c>
      <c r="I244" s="13" t="str">
        <f>_xlfn.XLOOKUP($G244,$N$5:$N$116,$Q$5:$Q$116)</f>
        <v>Fan Trigger Relay - ECU Signal Trigger (85)</v>
      </c>
    </row>
    <row r="245" spans="2:9" ht="15.75" customHeight="1" x14ac:dyDescent="0.2">
      <c r="B245" s="14">
        <v>30</v>
      </c>
      <c r="C245" s="13" t="str">
        <f>_xlfn.TEXTJOIN(,TRUE,_xlfn.XLOOKUP(_xlfn.TEXTJOIN(,TRUE,$B236,"-P",$B245),$O$5:$O$116,$N$5:$N$116,""), _xlfn.XLOOKUP(_xlfn.TEXTJOIN(,TRUE,$B236,"-P",$B245),$P$5:$P$116,$N$5:$N$116, ""))</f>
        <v>L.10.30</v>
      </c>
      <c r="D245" s="13">
        <f>_xlfn.XLOOKUP($G245,$N$5:$N$116,$R$5:$R$116)</f>
        <v>12</v>
      </c>
      <c r="E245" s="13" t="str">
        <f>_xlfn.XLOOKUP($G245,$N$5:$N$116,$S$5:$S$116)</f>
        <v>RED</v>
      </c>
      <c r="F245" s="48" t="str">
        <f>_xlfn.TEXTJOIN(" / ", TRUE,_xlfn.XLOOKUP($G245,$N$5:$N$116,$O$5:$O$116), _xlfn.XLOOKUP($G245,$N$5:$N$116,$P$5:$P$116))</f>
        <v>J6 / RLY8-P30</v>
      </c>
      <c r="G245" s="71" t="str">
        <f>C245</f>
        <v>L.10.30</v>
      </c>
      <c r="H245" s="13">
        <f>_xlfn.XLOOKUP($G245,$N$5:$N$116,$M$5:$M$116)</f>
        <v>10</v>
      </c>
      <c r="I245" s="13" t="str">
        <f>_xlfn.XLOOKUP($G245,$N$5:$N$116,$Q$5:$Q$116)</f>
        <v>Fan Trigger Relay - switched (30) PWR</v>
      </c>
    </row>
    <row r="246" spans="2:9" ht="15.75" customHeight="1" x14ac:dyDescent="0.2">
      <c r="B246" s="14">
        <v>87</v>
      </c>
      <c r="C246" s="13" t="str">
        <f>_xlfn.TEXTJOIN(,TRUE,_xlfn.XLOOKUP(_xlfn.TEXTJOIN(,TRUE,$B236,"-P",$B246),$O$5:$O$116,$N$5:$N$116,""), _xlfn.XLOOKUP(_xlfn.TEXTJOIN(,TRUE,$B236,"-P",$B246),$P$5:$P$116,$N$5:$N$116, ""))</f>
        <v>L.10.32</v>
      </c>
      <c r="D246" s="13">
        <f>_xlfn.XLOOKUP($G246,$N$5:$N$116,$R$5:$R$116)</f>
        <v>12</v>
      </c>
      <c r="E246" s="13" t="str">
        <f>_xlfn.XLOOKUP($G246,$N$5:$N$116,$S$5:$S$116)</f>
        <v>RED</v>
      </c>
      <c r="F246" s="48" t="str">
        <f>_xlfn.TEXTJOIN(" / ", TRUE,_xlfn.XLOOKUP($G246,$N$5:$N$116,$O$5:$O$116), _xlfn.XLOOKUP($G246,$N$5:$N$116,$P$5:$P$116))</f>
        <v>RLY8-P87 / J7</v>
      </c>
      <c r="G246" s="71" t="str">
        <f>C246</f>
        <v>L.10.32</v>
      </c>
      <c r="H246" s="13">
        <f>_xlfn.XLOOKUP($G246,$N$5:$N$116,$M$5:$M$116)</f>
        <v>10</v>
      </c>
      <c r="I246" s="13" t="str">
        <f>_xlfn.XLOOKUP($G246,$N$5:$N$116,$Q$5:$Q$116)</f>
        <v>Fan Trigger Relay - FAN SUPPLU POWER (87)</v>
      </c>
    </row>
    <row r="247" spans="2:9" ht="15.75" customHeight="1" thickBot="1" x14ac:dyDescent="0.25">
      <c r="B247" s="67" t="s">
        <v>561</v>
      </c>
      <c r="C247" s="16" t="str">
        <f>_xlfn.TEXTJOIN(,TRUE,_xlfn.XLOOKUP(_xlfn.TEXTJOIN(,TRUE,$B236,"-P",$B247),$O$5:$O$116,$N$5:$N$116,""), _xlfn.XLOOKUP(_xlfn.TEXTJOIN(,TRUE,$B236,"-P",$B247),$P$5:$P$116,$N$5:$N$116, ""))</f>
        <v/>
      </c>
      <c r="D247" s="16" t="e">
        <f>_xlfn.XLOOKUP($G247,$N$5:$N$116,$R$5:$R$116)</f>
        <v>#N/A</v>
      </c>
      <c r="E247" s="16" t="e">
        <f>_xlfn.XLOOKUP($G247,$N$5:$N$116,$S$5:$S$116)</f>
        <v>#N/A</v>
      </c>
      <c r="F247" s="50" t="e">
        <f>_xlfn.TEXTJOIN(" / ", TRUE,_xlfn.XLOOKUP($G247,$N$5:$N$116,$O$5:$O$116), _xlfn.XLOOKUP($G247,$N$5:$N$116,$P$5:$P$116))</f>
        <v>#N/A</v>
      </c>
      <c r="G247" s="71" t="str">
        <f>C247</f>
        <v/>
      </c>
      <c r="H247" s="13" t="e">
        <f>_xlfn.XLOOKUP($G247,$N$5:$N$116,$M$5:$M$116)</f>
        <v>#N/A</v>
      </c>
      <c r="I247" s="13" t="e">
        <f>_xlfn.XLOOKUP($G247,$N$5:$N$116,$Q$5:$Q$116)</f>
        <v>#N/A</v>
      </c>
    </row>
    <row r="249" spans="2:9" ht="15.75" customHeight="1" thickBot="1" x14ac:dyDescent="0.25"/>
    <row r="250" spans="2:9" ht="18.75" thickBot="1" x14ac:dyDescent="0.3">
      <c r="B250" s="93" t="s">
        <v>570</v>
      </c>
      <c r="C250" s="94"/>
      <c r="D250" s="95"/>
      <c r="E250" s="96"/>
      <c r="F250" s="97" t="str">
        <f>_xlfn.XLOOKUP(C251,$W$5:$W$29,$AA$5:$AA$29)</f>
        <v>Headlight Highbeam</v>
      </c>
    </row>
    <row r="251" spans="2:9" ht="15.75" customHeight="1" x14ac:dyDescent="0.25">
      <c r="B251" s="91" t="s">
        <v>560</v>
      </c>
      <c r="C251" s="89">
        <f>VALUE(RIGHT(B250,LEN(B250)-3))</f>
        <v>9</v>
      </c>
      <c r="D251" s="99"/>
      <c r="E251" s="99"/>
      <c r="F251" s="44"/>
    </row>
    <row r="252" spans="2:9" ht="12.75" x14ac:dyDescent="0.2">
      <c r="B252" s="91" t="s">
        <v>559</v>
      </c>
      <c r="C252" s="90" t="str">
        <f>_xlfn.XLOOKUP(C251,$W$5:$W$29,$X$5:$X$29)</f>
        <v>SC: 871-1C-S-D1-12VDC</v>
      </c>
      <c r="D252" s="11"/>
      <c r="E252" s="11"/>
      <c r="F252" s="44"/>
    </row>
    <row r="253" spans="2:9" ht="15.75" customHeight="1" x14ac:dyDescent="0.2">
      <c r="B253" s="92" t="s">
        <v>3</v>
      </c>
      <c r="C253" s="138" t="str">
        <f>_xlfn.XLOOKUP(C251,$W$5:$W$29,$AC$5:$AC$29)</f>
        <v>Switches on the headlight highbeams</v>
      </c>
      <c r="D253" s="138"/>
      <c r="E253" s="138"/>
      <c r="F253" s="139"/>
    </row>
    <row r="254" spans="2:9" ht="15.75" customHeight="1" x14ac:dyDescent="0.2">
      <c r="B254" s="47"/>
      <c r="C254" s="138"/>
      <c r="D254" s="138"/>
      <c r="E254" s="138"/>
      <c r="F254" s="139"/>
    </row>
    <row r="255" spans="2:9" ht="15.75" customHeight="1" x14ac:dyDescent="0.2">
      <c r="B255" s="47"/>
      <c r="C255" s="138"/>
      <c r="D255" s="138"/>
      <c r="E255" s="138"/>
      <c r="F255" s="139"/>
    </row>
    <row r="256" spans="2:9" ht="15.75" customHeight="1" thickBot="1" x14ac:dyDescent="0.25">
      <c r="B256" s="84" t="s">
        <v>4</v>
      </c>
      <c r="C256" s="85" t="s">
        <v>11</v>
      </c>
      <c r="D256" s="85" t="s">
        <v>83</v>
      </c>
      <c r="E256" s="85" t="s">
        <v>84</v>
      </c>
      <c r="F256" s="86" t="s">
        <v>562</v>
      </c>
      <c r="G256" s="84" t="s">
        <v>11</v>
      </c>
      <c r="H256" s="85" t="s">
        <v>581</v>
      </c>
      <c r="I256" s="85" t="s">
        <v>90</v>
      </c>
    </row>
    <row r="257" spans="2:9" ht="15.75" customHeight="1" x14ac:dyDescent="0.2">
      <c r="B257" s="77">
        <v>86</v>
      </c>
      <c r="C257" s="69" t="str">
        <f>_xlfn.TEXTJOIN(,TRUE,_xlfn.XLOOKUP(_xlfn.TEXTJOIN(,TRUE,$B250,"-P",$B257),$O$5:$O$116,$N$5:$N$116,""), _xlfn.XLOOKUP(_xlfn.TEXTJOIN(,TRUE,$B250,"-P",$B257),$P$5:$P$116,$N$5:$N$116, ""))</f>
        <v>L.10.112</v>
      </c>
      <c r="D257" s="69">
        <f>_xlfn.XLOOKUP($G257,$N$5:$N$116,$R$5:$R$116)</f>
        <v>20</v>
      </c>
      <c r="E257" s="69" t="str">
        <f>_xlfn.XLOOKUP($G257,$N$5:$N$116,$S$5:$S$116)</f>
        <v>WHITE</v>
      </c>
      <c r="F257" s="78" t="str">
        <f>_xlfn.TEXTJOIN(" / ", TRUE,_xlfn.XLOOKUP($G257,$N$5:$N$116,$O$5:$O$116), _xlfn.XLOOKUP($G257,$N$5:$N$116,$P$5:$P$116))</f>
        <v>P8-C4 / RLY9-P86</v>
      </c>
      <c r="G257" s="71" t="str">
        <f>C257</f>
        <v>L.10.112</v>
      </c>
      <c r="H257" s="13">
        <f>_xlfn.XLOOKUP($G257,$N$5:$N$116,$M$5:$M$116)</f>
        <v>0.15</v>
      </c>
      <c r="I257" s="13" t="str">
        <f>_xlfn.XLOOKUP($G257,$N$5:$N$116,$Q$5:$Q$116)</f>
        <v>Highbeam Switch Input +12V</v>
      </c>
    </row>
    <row r="258" spans="2:9" ht="15.75" customHeight="1" x14ac:dyDescent="0.2">
      <c r="B258" s="14">
        <v>85</v>
      </c>
      <c r="C258" s="13" t="str">
        <f>_xlfn.TEXTJOIN(,TRUE,_xlfn.XLOOKUP(_xlfn.TEXTJOIN(,TRUE,$B250,"-P",$B258),$O$5:$O$116,$N$5:$N$116,""), _xlfn.XLOOKUP(_xlfn.TEXTJOIN(,TRUE,$B250,"-P",$B258),$P$5:$P$116,$N$5:$N$116, ""))</f>
        <v>L.10.65</v>
      </c>
      <c r="D258" s="13">
        <f>_xlfn.XLOOKUP($G258,$N$5:$N$116,$R$5:$R$116)</f>
        <v>22</v>
      </c>
      <c r="E258" s="13" t="str">
        <f>_xlfn.XLOOKUP($G258,$N$5:$N$116,$S$5:$S$116)</f>
        <v>BLACK</v>
      </c>
      <c r="F258" s="48" t="str">
        <f>_xlfn.TEXTJOIN(" / ", TRUE,_xlfn.XLOOKUP($G258,$N$5:$N$116,$O$5:$O$116), _xlfn.XLOOKUP($G258,$N$5:$N$116,$P$5:$P$116))</f>
        <v>RLY9-P85 / J12</v>
      </c>
      <c r="G258" s="71" t="str">
        <f>C258</f>
        <v>L.10.65</v>
      </c>
      <c r="H258" s="13">
        <f>_xlfn.XLOOKUP($G258,$N$5:$N$116,$M$5:$M$116)</f>
        <v>0.15</v>
      </c>
      <c r="I258" s="13" t="str">
        <f>_xlfn.XLOOKUP($G258,$N$5:$N$116,$Q$5:$Q$116)</f>
        <v>Relay 9 Coil GND - to Bat Neg</v>
      </c>
    </row>
    <row r="259" spans="2:9" ht="15.75" customHeight="1" x14ac:dyDescent="0.2">
      <c r="B259" s="14">
        <v>30</v>
      </c>
      <c r="C259" s="13" t="str">
        <f>_xlfn.TEXTJOIN(,TRUE,_xlfn.XLOOKUP(_xlfn.TEXTJOIN(,TRUE,$B250,"-P",$B259),$O$5:$O$116,$N$5:$N$116,""), _xlfn.XLOOKUP(_xlfn.TEXTJOIN(,TRUE,$B250,"-P",$B259),$P$5:$P$116,$N$5:$N$116, ""))</f>
        <v>L.10.36</v>
      </c>
      <c r="D259" s="13">
        <f>_xlfn.XLOOKUP($G259,$N$5:$N$116,$R$5:$R$116)</f>
        <v>16</v>
      </c>
      <c r="E259" s="13" t="str">
        <f>_xlfn.XLOOKUP($G259,$N$5:$N$116,$S$5:$S$116)</f>
        <v>RED</v>
      </c>
      <c r="F259" s="48" t="str">
        <f>_xlfn.TEXTJOIN(" / ", TRUE,_xlfn.XLOOKUP($G259,$N$5:$N$116,$O$5:$O$116), _xlfn.XLOOKUP($G259,$N$5:$N$116,$P$5:$P$116))</f>
        <v>J8 / RLY9-P30</v>
      </c>
      <c r="G259" s="71" t="str">
        <f>C259</f>
        <v>L.10.36</v>
      </c>
      <c r="H259" s="13">
        <f>_xlfn.XLOOKUP($G259,$N$5:$N$116,$M$5:$M$116)</f>
        <v>4.9000000000000004</v>
      </c>
      <c r="I259" s="13" t="str">
        <f>_xlfn.XLOOKUP($G259,$N$5:$N$116,$Q$5:$Q$116)</f>
        <v>Highbeam Relay (30) PWR Supply</v>
      </c>
    </row>
    <row r="260" spans="2:9" ht="12.75" x14ac:dyDescent="0.2">
      <c r="B260" s="14">
        <v>87</v>
      </c>
      <c r="C260" s="13" t="str">
        <f>_xlfn.TEXTJOIN(,TRUE,_xlfn.XLOOKUP(_xlfn.TEXTJOIN(,TRUE,$B250,"-P",$B260),$O$5:$O$116,$N$5:$N$116,""), _xlfn.XLOOKUP(_xlfn.TEXTJOIN(,TRUE,$B250,"-P",$B260),$P$5:$P$116,$N$5:$N$116, ""))</f>
        <v>L.10.39</v>
      </c>
      <c r="D260" s="13">
        <f>_xlfn.XLOOKUP($G260,$N$5:$N$116,$R$5:$R$116)</f>
        <v>16</v>
      </c>
      <c r="E260" s="13" t="str">
        <f>_xlfn.XLOOKUP($G260,$N$5:$N$116,$S$5:$S$116)</f>
        <v>PURPLE</v>
      </c>
      <c r="F260" s="48" t="str">
        <f>_xlfn.TEXTJOIN(" / ", TRUE,_xlfn.XLOOKUP($G260,$N$5:$N$116,$O$5:$O$116), _xlfn.XLOOKUP($G260,$N$5:$N$116,$P$5:$P$116))</f>
        <v>RLY9-P87 / P9-C3</v>
      </c>
      <c r="G260" s="71" t="str">
        <f>C260</f>
        <v>L.10.39</v>
      </c>
      <c r="H260" s="13">
        <f>_xlfn.XLOOKUP($G260,$N$5:$N$116,$M$5:$M$116)</f>
        <v>4.9000000000000004</v>
      </c>
      <c r="I260" s="13" t="str">
        <f>_xlfn.XLOOKUP($G260,$N$5:$N$116,$Q$5:$Q$116)</f>
        <v>Highbeam Output Power</v>
      </c>
    </row>
    <row r="261" spans="2:9" ht="15.75" customHeight="1" thickBot="1" x14ac:dyDescent="0.25">
      <c r="B261" s="67" t="s">
        <v>561</v>
      </c>
      <c r="C261" s="16" t="str">
        <f>_xlfn.TEXTJOIN(,TRUE,_xlfn.XLOOKUP(_xlfn.TEXTJOIN(,TRUE,$B250,"-P",$B261),$O$5:$O$116,$N$5:$N$116,""), _xlfn.XLOOKUP(_xlfn.TEXTJOIN(,TRUE,$B250,"-P",$B261),$P$5:$P$116,$N$5:$N$116, ""))</f>
        <v/>
      </c>
      <c r="D261" s="16" t="e">
        <f>_xlfn.XLOOKUP($G261,$N$5:$N$116,$R$5:$R$116)</f>
        <v>#N/A</v>
      </c>
      <c r="E261" s="16" t="e">
        <f>_xlfn.XLOOKUP($G261,$N$5:$N$116,$S$5:$S$116)</f>
        <v>#N/A</v>
      </c>
      <c r="F261" s="50" t="e">
        <f>_xlfn.TEXTJOIN(" / ", TRUE,_xlfn.XLOOKUP($G261,$N$5:$N$116,$O$5:$O$116), _xlfn.XLOOKUP($G261,$N$5:$N$116,$P$5:$P$116))</f>
        <v>#N/A</v>
      </c>
      <c r="G261" s="71" t="str">
        <f>C261</f>
        <v/>
      </c>
      <c r="H261" s="13" t="e">
        <f>_xlfn.XLOOKUP($G261,$N$5:$N$116,$M$5:$M$116)</f>
        <v>#N/A</v>
      </c>
      <c r="I261" s="13" t="e">
        <f>_xlfn.XLOOKUP($G261,$N$5:$N$116,$Q$5:$Q$116)</f>
        <v>#N/A</v>
      </c>
    </row>
    <row r="262" spans="2:9" ht="12.75" x14ac:dyDescent="0.2"/>
    <row r="263" spans="2:9" ht="13.5" thickBot="1" x14ac:dyDescent="0.25"/>
    <row r="264" spans="2:9" ht="15.75" customHeight="1" thickBot="1" x14ac:dyDescent="0.3">
      <c r="B264" s="93" t="s">
        <v>571</v>
      </c>
      <c r="C264" s="94"/>
      <c r="D264" s="95"/>
      <c r="E264" s="96"/>
      <c r="F264" s="97" t="str">
        <f>_xlfn.XLOOKUP(C265,$W$5:$W$29,$AA$5:$AA$29)</f>
        <v>Starter Logic 1</v>
      </c>
    </row>
    <row r="265" spans="2:9" ht="15.75" customHeight="1" x14ac:dyDescent="0.25">
      <c r="B265" s="91" t="s">
        <v>560</v>
      </c>
      <c r="C265" s="89">
        <f>VALUE(RIGHT(B264,LEN(B264)-3))</f>
        <v>10</v>
      </c>
      <c r="D265" s="99"/>
      <c r="E265" s="99"/>
      <c r="F265" s="44"/>
    </row>
    <row r="266" spans="2:9" ht="15.75" customHeight="1" x14ac:dyDescent="0.2">
      <c r="B266" s="91" t="s">
        <v>559</v>
      </c>
      <c r="C266" s="90" t="str">
        <f>_xlfn.XLOOKUP(C265,$W$5:$W$29,$X$5:$X$29)</f>
        <v>SC: 871-1C-S-D1-12VDC</v>
      </c>
      <c r="D266" s="11"/>
      <c r="E266" s="11"/>
      <c r="F266" s="44"/>
    </row>
    <row r="267" spans="2:9" ht="15.75" customHeight="1" x14ac:dyDescent="0.2">
      <c r="B267" s="92" t="s">
        <v>3</v>
      </c>
      <c r="C267" s="138" t="str">
        <f>_xlfn.XLOOKUP(C265,$W$5:$W$29,$AC$5:$AC$29)</f>
        <v>Triggered by RPM activated ECU Output | When activated, provides power to Side stand down light</v>
      </c>
      <c r="D267" s="138"/>
      <c r="E267" s="138"/>
      <c r="F267" s="139"/>
    </row>
    <row r="268" spans="2:9" ht="15.75" customHeight="1" x14ac:dyDescent="0.2">
      <c r="B268" s="47"/>
      <c r="C268" s="138"/>
      <c r="D268" s="138"/>
      <c r="E268" s="138"/>
      <c r="F268" s="139"/>
    </row>
    <row r="269" spans="2:9" ht="15.75" customHeight="1" x14ac:dyDescent="0.2">
      <c r="B269" s="47"/>
      <c r="C269" s="138"/>
      <c r="D269" s="138"/>
      <c r="E269" s="138"/>
      <c r="F269" s="139"/>
    </row>
    <row r="270" spans="2:9" ht="15.75" customHeight="1" thickBot="1" x14ac:dyDescent="0.25">
      <c r="B270" s="84" t="s">
        <v>4</v>
      </c>
      <c r="C270" s="85" t="s">
        <v>11</v>
      </c>
      <c r="D270" s="85" t="s">
        <v>83</v>
      </c>
      <c r="E270" s="85" t="s">
        <v>84</v>
      </c>
      <c r="F270" s="86" t="s">
        <v>562</v>
      </c>
      <c r="G270" s="84" t="s">
        <v>11</v>
      </c>
      <c r="H270" s="85" t="s">
        <v>581</v>
      </c>
      <c r="I270" s="85" t="s">
        <v>90</v>
      </c>
    </row>
    <row r="271" spans="2:9" ht="12.75" x14ac:dyDescent="0.2">
      <c r="B271" s="77">
        <v>86</v>
      </c>
      <c r="C271" s="69" t="str">
        <f>_xlfn.TEXTJOIN(,TRUE,_xlfn.XLOOKUP(_xlfn.TEXTJOIN(,TRUE,$B264,"-P",$B271),$O$5:$O$116,$N$5:$N$116,""), _xlfn.XLOOKUP(_xlfn.TEXTJOIN(,TRUE,$B264,"-P",$B271),$P$5:$P$116,$N$5:$N$116, ""))</f>
        <v>L.10.37</v>
      </c>
      <c r="D271" s="69">
        <f>_xlfn.XLOOKUP($G271,$N$5:$N$116,$R$5:$R$116)</f>
        <v>20</v>
      </c>
      <c r="E271" s="69" t="str">
        <f>_xlfn.XLOOKUP($G271,$N$5:$N$116,$S$5:$S$116)</f>
        <v>RED</v>
      </c>
      <c r="F271" s="78" t="str">
        <f>_xlfn.TEXTJOIN(" / ", TRUE,_xlfn.XLOOKUP($G271,$N$5:$N$116,$O$5:$O$116), _xlfn.XLOOKUP($G271,$N$5:$N$116,$P$5:$P$116))</f>
        <v>J8 / RLY10-P86</v>
      </c>
      <c r="G271" s="71" t="str">
        <f>C271</f>
        <v>L.10.37</v>
      </c>
      <c r="H271" s="13">
        <f>_xlfn.XLOOKUP($G271,$N$5:$N$116,$M$5:$M$116)</f>
        <v>0.15</v>
      </c>
      <c r="I271" s="13" t="str">
        <f>_xlfn.XLOOKUP($G271,$N$5:$N$116,$Q$5:$Q$116)</f>
        <v>Starter Logic 1 Relay Coil PWR</v>
      </c>
    </row>
    <row r="272" spans="2:9" ht="15.75" customHeight="1" x14ac:dyDescent="0.2">
      <c r="B272" s="14">
        <v>85</v>
      </c>
      <c r="C272" s="13" t="str">
        <f>_xlfn.TEXTJOIN(,TRUE,_xlfn.XLOOKUP(_xlfn.TEXTJOIN(,TRUE,$B264,"-P",$B272),$O$5:$O$116,$N$5:$N$116,""), _xlfn.XLOOKUP(_xlfn.TEXTJOIN(,TRUE,$B264,"-P",$B272),$P$5:$P$116,$N$5:$N$116, ""))</f>
        <v>L.10.40</v>
      </c>
      <c r="D272" s="13">
        <f>_xlfn.XLOOKUP($G272,$N$5:$N$116,$R$5:$R$116)</f>
        <v>20</v>
      </c>
      <c r="E272" s="13" t="str">
        <f>_xlfn.XLOOKUP($G272,$N$5:$N$116,$S$5:$S$116)</f>
        <v>BLUE</v>
      </c>
      <c r="F272" s="48" t="str">
        <f>_xlfn.TEXTJOIN(" / ", TRUE,_xlfn.XLOOKUP($G272,$N$5:$N$116,$O$5:$O$116), _xlfn.XLOOKUP($G272,$N$5:$N$116,$P$5:$P$116))</f>
        <v>RLY10-P85 / P7-C2</v>
      </c>
      <c r="G272" s="71" t="str">
        <f>C272</f>
        <v>L.10.40</v>
      </c>
      <c r="H272" s="13">
        <f>_xlfn.XLOOKUP($G272,$N$5:$N$116,$M$5:$M$116)</f>
        <v>0.15</v>
      </c>
      <c r="I272" s="13" t="str">
        <f>_xlfn.XLOOKUP($G272,$N$5:$N$116,$Q$5:$Q$116)</f>
        <v>ECU Trigger Output: RPM Activated Output</v>
      </c>
    </row>
    <row r="273" spans="2:9" ht="15.75" customHeight="1" x14ac:dyDescent="0.2">
      <c r="B273" s="14">
        <v>30</v>
      </c>
      <c r="C273" s="13" t="str">
        <f>_xlfn.TEXTJOIN(,TRUE,_xlfn.XLOOKUP(_xlfn.TEXTJOIN(,TRUE,$B264,"-P",$B273),$O$5:$O$116,$N$5:$N$116,""), _xlfn.XLOOKUP(_xlfn.TEXTJOIN(,TRUE,$B264,"-P",$B273),$P$5:$P$116,$N$5:$N$116, ""))</f>
        <v>L.10.43</v>
      </c>
      <c r="D273" s="13">
        <f>_xlfn.XLOOKUP($G273,$N$5:$N$116,$R$5:$R$116)</f>
        <v>18</v>
      </c>
      <c r="E273" s="13" t="str">
        <f>_xlfn.XLOOKUP($G273,$N$5:$N$116,$S$5:$S$116)</f>
        <v>RED</v>
      </c>
      <c r="F273" s="48" t="str">
        <f>_xlfn.TEXTJOIN(" / ", TRUE,_xlfn.XLOOKUP($G273,$N$5:$N$116,$O$5:$O$116), _xlfn.XLOOKUP($G273,$N$5:$N$116,$P$5:$P$116))</f>
        <v>J9 / RLY10-P30</v>
      </c>
      <c r="G273" s="71" t="str">
        <f>C273</f>
        <v>L.10.43</v>
      </c>
      <c r="H273" s="13">
        <f>_xlfn.XLOOKUP($G273,$N$5:$N$116,$M$5:$M$116)</f>
        <v>5.15</v>
      </c>
      <c r="I273" s="13" t="str">
        <f>_xlfn.XLOOKUP($G273,$N$5:$N$116,$Q$5:$Q$116)</f>
        <v>Starter Logic 1 Common PWR (30) (from run/stop)</v>
      </c>
    </row>
    <row r="274" spans="2:9" ht="12.75" x14ac:dyDescent="0.2">
      <c r="B274" s="14">
        <v>87</v>
      </c>
      <c r="C274" s="13" t="str">
        <f>_xlfn.TEXTJOIN(,TRUE,_xlfn.XLOOKUP(_xlfn.TEXTJOIN(,TRUE,$B264,"-P",$B274),$O$5:$O$116,$N$5:$N$116,""), _xlfn.XLOOKUP(_xlfn.TEXTJOIN(,TRUE,$B264,"-P",$B274),$P$5:$P$116,$N$5:$N$116, ""))</f>
        <v>L.10.46</v>
      </c>
      <c r="D274" s="13">
        <f>_xlfn.XLOOKUP($G274,$N$5:$N$116,$R$5:$R$116)</f>
        <v>18</v>
      </c>
      <c r="E274" s="13" t="str">
        <f>_xlfn.XLOOKUP($G274,$N$5:$N$116,$S$5:$S$116)</f>
        <v>RED</v>
      </c>
      <c r="F274" s="48" t="str">
        <f>_xlfn.TEXTJOIN(" / ", TRUE,_xlfn.XLOOKUP($G274,$N$5:$N$116,$O$5:$O$116), _xlfn.XLOOKUP($G274,$N$5:$N$116,$P$5:$P$116))</f>
        <v>RLY10-P87 / P10-C3</v>
      </c>
      <c r="G274" s="71" t="str">
        <f>C274</f>
        <v>L.10.46</v>
      </c>
      <c r="H274" s="13">
        <f>_xlfn.XLOOKUP($G274,$N$5:$N$116,$M$5:$M$116)</f>
        <v>5</v>
      </c>
      <c r="I274" s="13" t="str">
        <f>_xlfn.XLOOKUP($G274,$N$5:$N$116,$Q$5:$Q$116)</f>
        <v>Sidestand Down Light PWR (RPM ACTIVATED PWR)</v>
      </c>
    </row>
    <row r="275" spans="2:9" ht="15.75" customHeight="1" thickBot="1" x14ac:dyDescent="0.25">
      <c r="B275" s="67" t="s">
        <v>561</v>
      </c>
      <c r="C275" s="16" t="str">
        <f>_xlfn.TEXTJOIN(,TRUE,_xlfn.XLOOKUP(_xlfn.TEXTJOIN(,TRUE,$B264,"-P",$B275),$O$5:$O$116,$N$5:$N$116,""), _xlfn.XLOOKUP(_xlfn.TEXTJOIN(,TRUE,$B264,"-P",$B275),$P$5:$P$116,$N$5:$N$116, ""))</f>
        <v>L.10.44</v>
      </c>
      <c r="D275" s="16">
        <f>_xlfn.XLOOKUP($G275,$N$5:$N$116,$R$5:$R$116)</f>
        <v>18</v>
      </c>
      <c r="E275" s="16" t="str">
        <f>_xlfn.XLOOKUP($G275,$N$5:$N$116,$S$5:$S$116)</f>
        <v>RED</v>
      </c>
      <c r="F275" s="50" t="str">
        <f>_xlfn.TEXTJOIN(" / ", TRUE,_xlfn.XLOOKUP($G275,$N$5:$N$116,$O$5:$O$116), _xlfn.XLOOKUP($G275,$N$5:$N$116,$P$5:$P$116))</f>
        <v>RLY10-P87a / RLY11-P86</v>
      </c>
      <c r="G275" s="71" t="str">
        <f>C275</f>
        <v>L.10.44</v>
      </c>
      <c r="H275" s="13">
        <f>_xlfn.XLOOKUP($G275,$N$5:$N$116,$M$5:$M$116)</f>
        <v>0.15</v>
      </c>
      <c r="I275" s="13" t="str">
        <f>_xlfn.XLOOKUP($G275,$N$5:$N$116,$Q$5:$Q$116)</f>
        <v>SL2 Coil PWR from SL1 87a</v>
      </c>
    </row>
    <row r="277" spans="2:9" ht="15.75" customHeight="1" thickBot="1" x14ac:dyDescent="0.25"/>
    <row r="278" spans="2:9" ht="15.75" customHeight="1" thickBot="1" x14ac:dyDescent="0.3">
      <c r="B278" s="93" t="s">
        <v>573</v>
      </c>
      <c r="C278" s="94"/>
      <c r="D278" s="95"/>
      <c r="E278" s="96"/>
      <c r="F278" s="97" t="str">
        <f>_xlfn.XLOOKUP(C279,$W$5:$W$29,$AA$5:$AA$29)</f>
        <v>Starter logic 2</v>
      </c>
    </row>
    <row r="279" spans="2:9" ht="15.75" customHeight="1" x14ac:dyDescent="0.25">
      <c r="B279" s="91" t="s">
        <v>560</v>
      </c>
      <c r="C279" s="89">
        <f>VALUE(RIGHT(B278,LEN(B278)-3))</f>
        <v>11</v>
      </c>
      <c r="D279" s="99"/>
      <c r="E279" s="99"/>
      <c r="F279" s="44"/>
    </row>
    <row r="280" spans="2:9" ht="15.75" customHeight="1" x14ac:dyDescent="0.2">
      <c r="B280" s="91" t="s">
        <v>559</v>
      </c>
      <c r="C280" s="90" t="str">
        <f>_xlfn.XLOOKUP(C279,$W$5:$W$29,$X$5:$X$29)</f>
        <v>SC: 871-1C-S-D1-12VDC</v>
      </c>
      <c r="D280" s="11"/>
      <c r="E280" s="11"/>
      <c r="F280" s="44"/>
    </row>
    <row r="281" spans="2:9" ht="15.75" customHeight="1" x14ac:dyDescent="0.2">
      <c r="B281" s="92" t="s">
        <v>3</v>
      </c>
      <c r="C281" s="138" t="str">
        <f>_xlfn.XLOOKUP(C279,$W$5:$W$29,$AC$5:$AC$29)</f>
        <v>Triggered by Starter ECU Output | When 87a powers lowbeam light, 87 goes to starter relay coil power.</v>
      </c>
      <c r="D281" s="138"/>
      <c r="E281" s="138"/>
      <c r="F281" s="139"/>
    </row>
    <row r="282" spans="2:9" ht="12.75" x14ac:dyDescent="0.2">
      <c r="B282" s="47"/>
      <c r="C282" s="138"/>
      <c r="D282" s="138"/>
      <c r="E282" s="138"/>
      <c r="F282" s="139"/>
    </row>
    <row r="283" spans="2:9" ht="15.75" customHeight="1" x14ac:dyDescent="0.2">
      <c r="B283" s="47"/>
      <c r="C283" s="138"/>
      <c r="D283" s="138"/>
      <c r="E283" s="138"/>
      <c r="F283" s="139"/>
    </row>
    <row r="284" spans="2:9" ht="15.75" customHeight="1" thickBot="1" x14ac:dyDescent="0.25">
      <c r="B284" s="84" t="s">
        <v>4</v>
      </c>
      <c r="C284" s="85" t="s">
        <v>11</v>
      </c>
      <c r="D284" s="85" t="s">
        <v>83</v>
      </c>
      <c r="E284" s="85" t="s">
        <v>84</v>
      </c>
      <c r="F284" s="86" t="s">
        <v>562</v>
      </c>
      <c r="G284" s="84" t="s">
        <v>11</v>
      </c>
      <c r="H284" s="85" t="s">
        <v>581</v>
      </c>
      <c r="I284" s="85" t="s">
        <v>90</v>
      </c>
    </row>
    <row r="285" spans="2:9" ht="15.75" customHeight="1" x14ac:dyDescent="0.2">
      <c r="B285" s="77">
        <v>86</v>
      </c>
      <c r="C285" s="69" t="str">
        <f>_xlfn.TEXTJOIN(,TRUE,_xlfn.XLOOKUP(_xlfn.TEXTJOIN(,TRUE,$B278,"-P",$B285),$O$5:$O$116,$N$5:$N$116,""), _xlfn.XLOOKUP(_xlfn.TEXTJOIN(,TRUE,$B278,"-P",$B285),$P$5:$P$116,$N$5:$N$116, ""))</f>
        <v>L.10.44</v>
      </c>
      <c r="D285" s="69">
        <f>_xlfn.XLOOKUP($G285,$N$5:$N$116,$R$5:$R$116)</f>
        <v>18</v>
      </c>
      <c r="E285" s="69" t="str">
        <f>_xlfn.XLOOKUP($G285,$N$5:$N$116,$S$5:$S$116)</f>
        <v>RED</v>
      </c>
      <c r="F285" s="78" t="str">
        <f>_xlfn.TEXTJOIN(" / ", TRUE,_xlfn.XLOOKUP($G285,$N$5:$N$116,$O$5:$O$116), _xlfn.XLOOKUP($G285,$N$5:$N$116,$P$5:$P$116))</f>
        <v>RLY10-P87a / RLY11-P86</v>
      </c>
      <c r="G285" s="71" t="str">
        <f>C285</f>
        <v>L.10.44</v>
      </c>
      <c r="H285" s="13">
        <f>_xlfn.XLOOKUP($G285,$N$5:$N$116,$M$5:$M$116)</f>
        <v>0.15</v>
      </c>
      <c r="I285" s="13" t="str">
        <f>_xlfn.XLOOKUP($G285,$N$5:$N$116,$Q$5:$Q$116)</f>
        <v>SL2 Coil PWR from SL1 87a</v>
      </c>
    </row>
    <row r="286" spans="2:9" ht="15.75" customHeight="1" x14ac:dyDescent="0.2">
      <c r="B286" s="14">
        <v>85</v>
      </c>
      <c r="C286" s="13" t="str">
        <f>_xlfn.TEXTJOIN(,TRUE,_xlfn.XLOOKUP(_xlfn.TEXTJOIN(,TRUE,$B278,"-P",$B286),$O$5:$O$116,$N$5:$N$116,""), _xlfn.XLOOKUP(_xlfn.TEXTJOIN(,TRUE,$B278,"-P",$B286),$P$5:$P$116,$N$5:$N$116, ""))</f>
        <v>L.10.45</v>
      </c>
      <c r="D286" s="13">
        <f>_xlfn.XLOOKUP($G286,$N$5:$N$116,$R$5:$R$116)</f>
        <v>20</v>
      </c>
      <c r="E286" s="13" t="str">
        <f>_xlfn.XLOOKUP($G286,$N$5:$N$116,$S$5:$S$116)</f>
        <v>BLUE</v>
      </c>
      <c r="F286" s="48" t="str">
        <f>_xlfn.TEXTJOIN(" / ", TRUE,_xlfn.XLOOKUP($G286,$N$5:$N$116,$O$5:$O$116), _xlfn.XLOOKUP($G286,$N$5:$N$116,$P$5:$P$116))</f>
        <v>RLY11-P85 / P8-C2</v>
      </c>
      <c r="G286" s="71" t="str">
        <f>C286</f>
        <v>L.10.45</v>
      </c>
      <c r="H286" s="13">
        <f>_xlfn.XLOOKUP($G286,$N$5:$N$116,$M$5:$M$116)</f>
        <v>0.15</v>
      </c>
      <c r="I286" s="13" t="str">
        <f>_xlfn.XLOOKUP($G286,$N$5:$N$116,$Q$5:$Q$116)</f>
        <v>ECU Trigger Starter trig output</v>
      </c>
    </row>
    <row r="287" spans="2:9" ht="15.75" customHeight="1" x14ac:dyDescent="0.2">
      <c r="B287" s="14">
        <v>30</v>
      </c>
      <c r="C287" s="13" t="str">
        <f>_xlfn.TEXTJOIN(,TRUE,_xlfn.XLOOKUP(_xlfn.TEXTJOIN(,TRUE,$B278,"-P",$B287),$O$5:$O$116,$N$5:$N$116,""), _xlfn.XLOOKUP(_xlfn.TEXTJOIN(,TRUE,$B278,"-P",$B287),$P$5:$P$116,$N$5:$N$116, ""))</f>
        <v>L.10.38</v>
      </c>
      <c r="D287" s="13">
        <f>_xlfn.XLOOKUP($G287,$N$5:$N$116,$R$5:$R$116)</f>
        <v>16</v>
      </c>
      <c r="E287" s="13" t="str">
        <f>_xlfn.XLOOKUP($G287,$N$5:$N$116,$S$5:$S$116)</f>
        <v>RED</v>
      </c>
      <c r="F287" s="48" t="str">
        <f>_xlfn.TEXTJOIN(" / ", TRUE,_xlfn.XLOOKUP($G287,$N$5:$N$116,$O$5:$O$116), _xlfn.XLOOKUP($G287,$N$5:$N$116,$P$5:$P$116))</f>
        <v>J8 / RLY11-P30</v>
      </c>
      <c r="G287" s="71" t="str">
        <f>C287</f>
        <v>L.10.38</v>
      </c>
      <c r="H287" s="13">
        <f>_xlfn.XLOOKUP($G287,$N$5:$N$116,$M$5:$M$116)</f>
        <v>9.25</v>
      </c>
      <c r="I287" s="13" t="str">
        <f>_xlfn.XLOOKUP($G287,$N$5:$N$116,$Q$5:$Q$116)</f>
        <v>Stater Logic 2 (30) PWR</v>
      </c>
    </row>
    <row r="288" spans="2:9" ht="15.75" customHeight="1" x14ac:dyDescent="0.2">
      <c r="B288" s="14">
        <v>87</v>
      </c>
      <c r="C288" s="13" t="str">
        <f>_xlfn.TEXTJOIN(,TRUE,_xlfn.XLOOKUP(_xlfn.TEXTJOIN(,TRUE,$B278,"-P",$B288),$O$5:$O$116,$N$5:$N$116,""), _xlfn.XLOOKUP(_xlfn.TEXTJOIN(,TRUE,$B278,"-P",$B288),$P$5:$P$116,$N$5:$N$116, ""))</f>
        <v>L.10.48</v>
      </c>
      <c r="D288" s="13">
        <f>_xlfn.XLOOKUP($G288,$N$5:$N$116,$R$5:$R$116)</f>
        <v>18</v>
      </c>
      <c r="E288" s="13" t="str">
        <f>_xlfn.XLOOKUP($G288,$N$5:$N$116,$S$5:$S$116)</f>
        <v>BROWN</v>
      </c>
      <c r="F288" s="48" t="str">
        <f>_xlfn.TEXTJOIN(" / ", TRUE,_xlfn.XLOOKUP($G288,$N$5:$N$116,$O$5:$O$116), _xlfn.XLOOKUP($G288,$N$5:$N$116,$P$5:$P$116))</f>
        <v>RLY11-P87 / P1-C4</v>
      </c>
      <c r="G288" s="71" t="str">
        <f>C288</f>
        <v>L.10.48</v>
      </c>
      <c r="H288" s="13">
        <f>_xlfn.XLOOKUP($G288,$N$5:$N$116,$M$5:$M$116)</f>
        <v>4.5</v>
      </c>
      <c r="I288" s="13" t="str">
        <f>_xlfn.XLOOKUP($G288,$N$5:$N$116,$Q$5:$Q$116)</f>
        <v>Starter Relay Coil Power</v>
      </c>
    </row>
    <row r="289" spans="2:9" ht="13.5" thickBot="1" x14ac:dyDescent="0.25">
      <c r="B289" s="67" t="s">
        <v>561</v>
      </c>
      <c r="C289" s="16" t="str">
        <f>_xlfn.TEXTJOIN(,TRUE,_xlfn.XLOOKUP(_xlfn.TEXTJOIN(,TRUE,$B278,"-P",$B289),$O$5:$O$116,$N$5:$N$116,""), _xlfn.XLOOKUP(_xlfn.TEXTJOIN(,TRUE,$B278,"-P",$B289),$P$5:$P$116,$N$5:$N$116, ""))</f>
        <v>L.10.47</v>
      </c>
      <c r="D289" s="16">
        <f>_xlfn.XLOOKUP($G289,$N$5:$N$116,$R$5:$R$116)</f>
        <v>16</v>
      </c>
      <c r="E289" s="16" t="str">
        <f>_xlfn.XLOOKUP($G289,$N$5:$N$116,$S$5:$S$116)</f>
        <v>PINK</v>
      </c>
      <c r="F289" s="50" t="str">
        <f>_xlfn.TEXTJOIN(" / ", TRUE,_xlfn.XLOOKUP($G289,$N$5:$N$116,$O$5:$O$116), _xlfn.XLOOKUP($G289,$N$5:$N$116,$P$5:$P$116))</f>
        <v>RLY11-P87a / P11-C3</v>
      </c>
      <c r="G289" s="71" t="str">
        <f>C289</f>
        <v>L.10.47</v>
      </c>
      <c r="H289" s="13">
        <f>_xlfn.XLOOKUP($G289,$N$5:$N$116,$M$5:$M$116)</f>
        <v>4.75</v>
      </c>
      <c r="I289" s="13" t="str">
        <f>_xlfn.XLOOKUP($G289,$N$5:$N$116,$Q$5:$Q$116)</f>
        <v>HeadLight Lowbeam PWR</v>
      </c>
    </row>
    <row r="291" spans="2:9" ht="15.75" customHeight="1" thickBot="1" x14ac:dyDescent="0.25"/>
    <row r="292" spans="2:9" ht="15.75" customHeight="1" thickBot="1" x14ac:dyDescent="0.3">
      <c r="B292" s="93" t="s">
        <v>574</v>
      </c>
      <c r="C292" s="94"/>
      <c r="D292" s="95"/>
      <c r="E292" s="96"/>
      <c r="F292" s="97" t="str">
        <f>_xlfn.XLOOKUP(C293,$W$5:$W$29,$AA$5:$AA$29)</f>
        <v>Left Turn Output</v>
      </c>
    </row>
    <row r="293" spans="2:9" x14ac:dyDescent="0.25">
      <c r="B293" s="91" t="s">
        <v>560</v>
      </c>
      <c r="C293" s="89">
        <f>VALUE(RIGHT(B292,LEN(B292)-3))</f>
        <v>12</v>
      </c>
      <c r="D293" s="99"/>
      <c r="E293" s="99"/>
      <c r="F293" s="44"/>
    </row>
    <row r="294" spans="2:9" ht="15.75" customHeight="1" x14ac:dyDescent="0.2">
      <c r="B294" s="91" t="s">
        <v>559</v>
      </c>
      <c r="C294" s="90" t="str">
        <f>_xlfn.XLOOKUP(C293,$W$5:$W$29,$X$5:$X$29)</f>
        <v>SC: 871-1C-S-D1-12VDC</v>
      </c>
      <c r="D294" s="11"/>
      <c r="E294" s="11"/>
      <c r="F294" s="44"/>
    </row>
    <row r="295" spans="2:9" ht="15.75" customHeight="1" x14ac:dyDescent="0.2">
      <c r="B295" s="92" t="s">
        <v>3</v>
      </c>
      <c r="C295" s="138" t="str">
        <f>_xlfn.XLOOKUP(C293,$W$5:$W$29,$AC$5:$AC$29)</f>
        <v>Once triggered through (turn signal Logic relays) activates the left turn signal Lights</v>
      </c>
      <c r="D295" s="138"/>
      <c r="E295" s="138"/>
      <c r="F295" s="139"/>
    </row>
    <row r="296" spans="2:9" ht="15.75" customHeight="1" x14ac:dyDescent="0.2">
      <c r="B296" s="47"/>
      <c r="C296" s="138"/>
      <c r="D296" s="138"/>
      <c r="E296" s="138"/>
      <c r="F296" s="139"/>
    </row>
    <row r="297" spans="2:9" ht="15.75" customHeight="1" x14ac:dyDescent="0.2">
      <c r="B297" s="47"/>
      <c r="C297" s="138"/>
      <c r="D297" s="138"/>
      <c r="E297" s="138"/>
      <c r="F297" s="139"/>
    </row>
    <row r="298" spans="2:9" ht="15.75" customHeight="1" thickBot="1" x14ac:dyDescent="0.25">
      <c r="B298" s="84" t="s">
        <v>4</v>
      </c>
      <c r="C298" s="85" t="s">
        <v>11</v>
      </c>
      <c r="D298" s="85" t="s">
        <v>83</v>
      </c>
      <c r="E298" s="85" t="s">
        <v>84</v>
      </c>
      <c r="F298" s="86" t="s">
        <v>562</v>
      </c>
      <c r="G298" s="84" t="s">
        <v>11</v>
      </c>
      <c r="H298" s="85" t="s">
        <v>581</v>
      </c>
      <c r="I298" s="85" t="s">
        <v>90</v>
      </c>
    </row>
    <row r="299" spans="2:9" ht="15.75" customHeight="1" x14ac:dyDescent="0.2">
      <c r="B299" s="77">
        <v>86</v>
      </c>
      <c r="C299" s="69" t="str">
        <f>_xlfn.TEXTJOIN(,TRUE,_xlfn.XLOOKUP(_xlfn.TEXTJOIN(,TRUE,$B292,"-P",$B299),$O$5:$O$116,$N$5:$N$116,""), _xlfn.XLOOKUP(_xlfn.TEXTJOIN(,TRUE,$B292,"-P",$B299),$P$5:$P$116,$N$5:$N$116, ""))</f>
        <v>L.10.82</v>
      </c>
      <c r="D299" s="69">
        <f>_xlfn.XLOOKUP($G299,$N$5:$N$116,$R$5:$R$116)</f>
        <v>20</v>
      </c>
      <c r="E299" s="69" t="str">
        <f>_xlfn.XLOOKUP($G299,$N$5:$N$116,$S$5:$S$116)</f>
        <v>GRAY</v>
      </c>
      <c r="F299" s="78" t="str">
        <f>_xlfn.TEXTJOIN(" / ", TRUE,_xlfn.XLOOKUP($G299,$N$5:$N$116,$O$5:$O$116), _xlfn.XLOOKUP($G299,$N$5:$N$116,$P$5:$P$116))</f>
        <v>P9-C4 / RLY12-P86</v>
      </c>
      <c r="G299" s="71" t="str">
        <f>C299</f>
        <v>L.10.82</v>
      </c>
      <c r="H299" s="13">
        <f>_xlfn.XLOOKUP($G299,$N$5:$N$116,$M$5:$M$116)</f>
        <v>0.15</v>
      </c>
      <c r="I299" s="13" t="str">
        <f>_xlfn.XLOOKUP($G299,$N$5:$N$116,$Q$5:$Q$116)</f>
        <v>Left Turn Signal Ref +24V PWR</v>
      </c>
    </row>
    <row r="300" spans="2:9" ht="15.75" customHeight="1" x14ac:dyDescent="0.2">
      <c r="B300" s="14">
        <v>85</v>
      </c>
      <c r="C300" s="13" t="str">
        <f>_xlfn.TEXTJOIN(,TRUE,_xlfn.XLOOKUP(_xlfn.TEXTJOIN(,TRUE,$B292,"-P",$B300),$O$5:$O$116,$N$5:$N$116,""), _xlfn.XLOOKUP(_xlfn.TEXTJOIN(,TRUE,$B292,"-P",$B300),$P$5:$P$116,$N$5:$N$116, ""))</f>
        <v>L.10.106</v>
      </c>
      <c r="D300" s="13">
        <f>_xlfn.XLOOKUP($G300,$N$5:$N$116,$R$5:$R$116)</f>
        <v>18</v>
      </c>
      <c r="E300" s="13" t="str">
        <f>_xlfn.XLOOKUP($G300,$N$5:$N$116,$S$5:$S$116)</f>
        <v>BLACK</v>
      </c>
      <c r="F300" s="48" t="str">
        <f>_xlfn.TEXTJOIN(" / ", TRUE,_xlfn.XLOOKUP($G300,$N$5:$N$116,$O$5:$O$116), _xlfn.XLOOKUP($G300,$N$5:$N$116,$P$5:$P$116))</f>
        <v>RLY12-P85 / RLY15-P87a</v>
      </c>
      <c r="G300" s="71" t="str">
        <f>C300</f>
        <v>L.10.106</v>
      </c>
      <c r="H300" s="13">
        <f>_xlfn.XLOOKUP($G300,$N$5:$N$116,$M$5:$M$116)</f>
        <v>0.15</v>
      </c>
      <c r="I300" s="13" t="str">
        <f>_xlfn.XLOOKUP($G300,$N$5:$N$116,$Q$5:$Q$116)</f>
        <v>Left Turn Relay to LT Logic Relay - Coil GND Logic</v>
      </c>
    </row>
    <row r="301" spans="2:9" ht="15.75" customHeight="1" x14ac:dyDescent="0.2">
      <c r="B301" s="14">
        <v>30</v>
      </c>
      <c r="C301" s="13" t="str">
        <f>_xlfn.TEXTJOIN(,TRUE,_xlfn.XLOOKUP(_xlfn.TEXTJOIN(,TRUE,$B292,"-P",$B301),$O$5:$O$116,$N$5:$N$116,""), _xlfn.XLOOKUP(_xlfn.TEXTJOIN(,TRUE,$B292,"-P",$B301),$P$5:$P$116,$N$5:$N$116, ""))</f>
        <v>L.10.109</v>
      </c>
      <c r="D301" s="13">
        <f>_xlfn.XLOOKUP($G301,$N$5:$N$116,$R$5:$R$116)</f>
        <v>20</v>
      </c>
      <c r="E301" s="13" t="str">
        <f>_xlfn.XLOOKUP($G301,$N$5:$N$116,$S$5:$S$116)</f>
        <v>ORANGE</v>
      </c>
      <c r="F301" s="48" t="str">
        <f>_xlfn.TEXTJOIN(" / ", TRUE,_xlfn.XLOOKUP($G301,$N$5:$N$116,$O$5:$O$116), _xlfn.XLOOKUP($G301,$N$5:$N$116,$P$5:$P$116))</f>
        <v>J19 / RLY12-P30</v>
      </c>
      <c r="G301" s="71" t="str">
        <f>C301</f>
        <v>L.10.109</v>
      </c>
      <c r="H301" s="13">
        <f>_xlfn.XLOOKUP($G301,$N$5:$N$116,$M$5:$M$116)</f>
        <v>2</v>
      </c>
      <c r="I301" s="13" t="str">
        <f>_xlfn.XLOOKUP($G301,$N$5:$N$116,$Q$5:$Q$116)</f>
        <v>Flasher 12V for Left Turn Signal</v>
      </c>
    </row>
    <row r="302" spans="2:9" ht="15.75" customHeight="1" x14ac:dyDescent="0.2">
      <c r="B302" s="14">
        <v>87</v>
      </c>
      <c r="C302" s="13" t="str">
        <f>_xlfn.TEXTJOIN(,TRUE,_xlfn.XLOOKUP(_xlfn.TEXTJOIN(,TRUE,$B292,"-P",$B302),$O$5:$O$116,$N$5:$N$116,""), _xlfn.XLOOKUP(_xlfn.TEXTJOIN(,TRUE,$B292,"-P",$B302),$P$5:$P$116,$N$5:$N$116, ""))</f>
        <v>L.10.110</v>
      </c>
      <c r="D302" s="13">
        <f>_xlfn.XLOOKUP($G302,$N$5:$N$116,$R$5:$R$116)</f>
        <v>20</v>
      </c>
      <c r="E302" s="13" t="str">
        <f>_xlfn.XLOOKUP($G302,$N$5:$N$116,$S$5:$S$116)</f>
        <v>ORANGE</v>
      </c>
      <c r="F302" s="48" t="str">
        <f>_xlfn.TEXTJOIN(" / ", TRUE,_xlfn.XLOOKUP($G302,$N$5:$N$116,$O$5:$O$116), _xlfn.XLOOKUP($G302,$N$5:$N$116,$P$5:$P$116))</f>
        <v>RLY12-P87 / P11-C4</v>
      </c>
      <c r="G302" s="71" t="str">
        <f>C302</f>
        <v>L.10.110</v>
      </c>
      <c r="H302" s="13">
        <f>_xlfn.XLOOKUP($G302,$N$5:$N$116,$M$5:$M$116)</f>
        <v>2</v>
      </c>
      <c r="I302" s="13" t="str">
        <f>_xlfn.XLOOKUP($G302,$N$5:$N$116,$Q$5:$Q$116)</f>
        <v>Left turn signal Flashing 12V</v>
      </c>
    </row>
    <row r="303" spans="2:9" ht="15.75" customHeight="1" thickBot="1" x14ac:dyDescent="0.25">
      <c r="B303" s="67" t="s">
        <v>561</v>
      </c>
      <c r="C303" s="16" t="str">
        <f>_xlfn.TEXTJOIN(,TRUE,_xlfn.XLOOKUP(_xlfn.TEXTJOIN(,TRUE,$B292,"-P",$B303),$O$5:$O$116,$N$5:$N$116,""), _xlfn.XLOOKUP(_xlfn.TEXTJOIN(,TRUE,$B292,"-P",$B303),$P$5:$P$116,$N$5:$N$116, ""))</f>
        <v/>
      </c>
      <c r="D303" s="16" t="e">
        <f>_xlfn.XLOOKUP($G303,$N$5:$N$116,$R$5:$R$116)</f>
        <v>#N/A</v>
      </c>
      <c r="E303" s="16" t="e">
        <f>_xlfn.XLOOKUP($G303,$N$5:$N$116,$S$5:$S$116)</f>
        <v>#N/A</v>
      </c>
      <c r="F303" s="50" t="e">
        <f>_xlfn.TEXTJOIN(" / ", TRUE,_xlfn.XLOOKUP($G303,$N$5:$N$116,$O$5:$O$116), _xlfn.XLOOKUP($G303,$N$5:$N$116,$P$5:$P$116))</f>
        <v>#N/A</v>
      </c>
      <c r="G303" s="71" t="str">
        <f>C303</f>
        <v/>
      </c>
      <c r="H303" s="13" t="e">
        <f>_xlfn.XLOOKUP($G303,$N$5:$N$116,$M$5:$M$116)</f>
        <v>#N/A</v>
      </c>
      <c r="I303" s="13" t="e">
        <f>_xlfn.XLOOKUP($G303,$N$5:$N$116,$Q$5:$Q$116)</f>
        <v>#N/A</v>
      </c>
    </row>
    <row r="304" spans="2:9" ht="12.75" x14ac:dyDescent="0.2"/>
    <row r="305" spans="2:9" ht="15.75" customHeight="1" thickBot="1" x14ac:dyDescent="0.25"/>
    <row r="306" spans="2:9" ht="15.75" customHeight="1" thickBot="1" x14ac:dyDescent="0.3">
      <c r="B306" s="93" t="s">
        <v>575</v>
      </c>
      <c r="C306" s="94"/>
      <c r="D306" s="95"/>
      <c r="E306" s="96"/>
      <c r="F306" s="97" t="str">
        <f>_xlfn.XLOOKUP(C307,$W$5:$W$29,$AA$5:$AA$29)</f>
        <v>Right Turn Output</v>
      </c>
    </row>
    <row r="307" spans="2:9" ht="15.75" customHeight="1" x14ac:dyDescent="0.25">
      <c r="B307" s="91" t="s">
        <v>560</v>
      </c>
      <c r="C307" s="89">
        <f>VALUE(RIGHT(B306,LEN(B306)-3))</f>
        <v>13</v>
      </c>
      <c r="D307" s="99"/>
      <c r="E307" s="99"/>
      <c r="F307" s="44"/>
    </row>
    <row r="308" spans="2:9" ht="15.75" customHeight="1" x14ac:dyDescent="0.2">
      <c r="B308" s="91" t="s">
        <v>559</v>
      </c>
      <c r="C308" s="90" t="str">
        <f>_xlfn.XLOOKUP(C307,$W$5:$W$29,$X$5:$X$29)</f>
        <v>SC: 871-1C-S-D1-12VDC</v>
      </c>
      <c r="D308" s="11"/>
      <c r="E308" s="11"/>
      <c r="F308" s="44"/>
    </row>
    <row r="309" spans="2:9" ht="15.75" customHeight="1" x14ac:dyDescent="0.2">
      <c r="B309" s="92" t="s">
        <v>3</v>
      </c>
      <c r="C309" s="138" t="str">
        <f>_xlfn.XLOOKUP(C307,$W$5:$W$29,$AC$5:$AC$29)</f>
        <v>Once triggered through (turn signal Logic relays) activates the right turn signal Lights</v>
      </c>
      <c r="D309" s="138"/>
      <c r="E309" s="138"/>
      <c r="F309" s="139"/>
    </row>
    <row r="310" spans="2:9" ht="15.75" customHeight="1" x14ac:dyDescent="0.2">
      <c r="B310" s="47"/>
      <c r="C310" s="138"/>
      <c r="D310" s="138"/>
      <c r="E310" s="138"/>
      <c r="F310" s="139"/>
    </row>
    <row r="311" spans="2:9" ht="15.75" customHeight="1" x14ac:dyDescent="0.2">
      <c r="B311" s="47"/>
      <c r="C311" s="138"/>
      <c r="D311" s="138"/>
      <c r="E311" s="138"/>
      <c r="F311" s="139"/>
    </row>
    <row r="312" spans="2:9" ht="15.75" customHeight="1" thickBot="1" x14ac:dyDescent="0.25">
      <c r="B312" s="84" t="s">
        <v>4</v>
      </c>
      <c r="C312" s="85" t="s">
        <v>11</v>
      </c>
      <c r="D312" s="85" t="s">
        <v>83</v>
      </c>
      <c r="E312" s="85" t="s">
        <v>84</v>
      </c>
      <c r="F312" s="86" t="s">
        <v>562</v>
      </c>
      <c r="G312" s="84" t="s">
        <v>11</v>
      </c>
      <c r="H312" s="85" t="s">
        <v>581</v>
      </c>
      <c r="I312" s="85" t="s">
        <v>90</v>
      </c>
    </row>
    <row r="313" spans="2:9" ht="15.75" customHeight="1" x14ac:dyDescent="0.2">
      <c r="B313" s="77">
        <v>86</v>
      </c>
      <c r="C313" s="69" t="str">
        <f>_xlfn.TEXTJOIN(,TRUE,_xlfn.XLOOKUP(_xlfn.TEXTJOIN(,TRUE,$B306,"-P",$B313),$O$5:$O$116,$N$5:$N$116,""), _xlfn.XLOOKUP(_xlfn.TEXTJOIN(,TRUE,$B306,"-P",$B313),$P$5:$P$116,$N$5:$N$116, ""))</f>
        <v>L.10.83</v>
      </c>
      <c r="D313" s="69">
        <f>_xlfn.XLOOKUP($G313,$N$5:$N$116,$R$5:$R$116)</f>
        <v>20</v>
      </c>
      <c r="E313" s="69" t="str">
        <f>_xlfn.XLOOKUP($G313,$N$5:$N$116,$S$5:$S$116)</f>
        <v>GRAY</v>
      </c>
      <c r="F313" s="78" t="str">
        <f>_xlfn.TEXTJOIN(" / ", TRUE,_xlfn.XLOOKUP($G313,$N$5:$N$116,$O$5:$O$116), _xlfn.XLOOKUP($G313,$N$5:$N$116,$P$5:$P$116))</f>
        <v>P10-C4 / RLY13-P86</v>
      </c>
      <c r="G313" s="71" t="str">
        <f>C313</f>
        <v>L.10.83</v>
      </c>
      <c r="H313" s="13">
        <f>_xlfn.XLOOKUP($G313,$N$5:$N$116,$M$5:$M$116)</f>
        <v>0.15</v>
      </c>
      <c r="I313" s="13" t="str">
        <f>_xlfn.XLOOKUP($G313,$N$5:$N$116,$Q$5:$Q$116)</f>
        <v>Right Turn Signal Ref +24V PWR</v>
      </c>
    </row>
    <row r="314" spans="2:9" ht="15.75" customHeight="1" x14ac:dyDescent="0.2">
      <c r="B314" s="14">
        <v>85</v>
      </c>
      <c r="C314" s="13" t="str">
        <f>_xlfn.TEXTJOIN(,TRUE,_xlfn.XLOOKUP(_xlfn.TEXTJOIN(,TRUE,$B306,"-P",$B314),$O$5:$O$116,$N$5:$N$116,""), _xlfn.XLOOKUP(_xlfn.TEXTJOIN(,TRUE,$B306,"-P",$B314),$P$5:$P$116,$N$5:$N$116, ""))</f>
        <v>L.10.105</v>
      </c>
      <c r="D314" s="13">
        <f>_xlfn.XLOOKUP($G314,$N$5:$N$116,$R$5:$R$116)</f>
        <v>18</v>
      </c>
      <c r="E314" s="13" t="str">
        <f>_xlfn.XLOOKUP($G314,$N$5:$N$116,$S$5:$S$116)</f>
        <v>BLACK</v>
      </c>
      <c r="F314" s="48" t="str">
        <f>_xlfn.TEXTJOIN(" / ", TRUE,_xlfn.XLOOKUP($G314,$N$5:$N$116,$O$5:$O$116), _xlfn.XLOOKUP($G314,$N$5:$N$116,$P$5:$P$116))</f>
        <v>RLY13-P85 / RLY14-P87a</v>
      </c>
      <c r="G314" s="71" t="str">
        <f>C314</f>
        <v>L.10.105</v>
      </c>
      <c r="H314" s="13">
        <f>_xlfn.XLOOKUP($G314,$N$5:$N$116,$M$5:$M$116)</f>
        <v>0.15</v>
      </c>
      <c r="I314" s="13" t="str">
        <f>_xlfn.XLOOKUP($G314,$N$5:$N$116,$Q$5:$Q$116)</f>
        <v>Right Turn Relay to RT Logic Relay - Coil GND Logic</v>
      </c>
    </row>
    <row r="315" spans="2:9" ht="15.75" customHeight="1" x14ac:dyDescent="0.2">
      <c r="B315" s="14">
        <v>30</v>
      </c>
      <c r="C315" s="13" t="str">
        <f>_xlfn.TEXTJOIN(,TRUE,_xlfn.XLOOKUP(_xlfn.TEXTJOIN(,TRUE,$B306,"-P",$B315),$O$5:$O$116,$N$5:$N$116,""), _xlfn.XLOOKUP(_xlfn.TEXTJOIN(,TRUE,$B306,"-P",$B315),$P$5:$P$116,$N$5:$N$116, ""))</f>
        <v>L.10.108</v>
      </c>
      <c r="D315" s="13">
        <f>_xlfn.XLOOKUP($G315,$N$5:$N$116,$R$5:$R$116)</f>
        <v>20</v>
      </c>
      <c r="E315" s="13" t="str">
        <f>_xlfn.XLOOKUP($G315,$N$5:$N$116,$S$5:$S$116)</f>
        <v>ORANGE</v>
      </c>
      <c r="F315" s="48" t="str">
        <f>_xlfn.TEXTJOIN(" / ", TRUE,_xlfn.XLOOKUP($G315,$N$5:$N$116,$O$5:$O$116), _xlfn.XLOOKUP($G315,$N$5:$N$116,$P$5:$P$116))</f>
        <v>J19 / RLY13-P30</v>
      </c>
      <c r="G315" s="71" t="str">
        <f>C315</f>
        <v>L.10.108</v>
      </c>
      <c r="H315" s="13">
        <f>_xlfn.XLOOKUP($G315,$N$5:$N$116,$M$5:$M$116)</f>
        <v>2</v>
      </c>
      <c r="I315" s="13" t="str">
        <f>_xlfn.XLOOKUP($G315,$N$5:$N$116,$Q$5:$Q$116)</f>
        <v>Flasher 12V for Right Turn Signal</v>
      </c>
    </row>
    <row r="316" spans="2:9" ht="15.75" customHeight="1" x14ac:dyDescent="0.2">
      <c r="B316" s="14">
        <v>87</v>
      </c>
      <c r="C316" s="13" t="str">
        <f>_xlfn.TEXTJOIN(,TRUE,_xlfn.XLOOKUP(_xlfn.TEXTJOIN(,TRUE,$B306,"-P",$B316),$O$5:$O$116,$N$5:$N$116,""), _xlfn.XLOOKUP(_xlfn.TEXTJOIN(,TRUE,$B306,"-P",$B316),$P$5:$P$116,$N$5:$N$116, ""))</f>
        <v>L.10.111</v>
      </c>
      <c r="D316" s="13">
        <f>_xlfn.XLOOKUP($G316,$N$5:$N$116,$R$5:$R$116)</f>
        <v>20</v>
      </c>
      <c r="E316" s="13" t="str">
        <f>_xlfn.XLOOKUP($G316,$N$5:$N$116,$S$5:$S$116)</f>
        <v>LIGHT BLUE</v>
      </c>
      <c r="F316" s="48" t="str">
        <f>_xlfn.TEXTJOIN(" / ", TRUE,_xlfn.XLOOKUP($G316,$N$5:$N$116,$O$5:$O$116), _xlfn.XLOOKUP($G316,$N$5:$N$116,$P$5:$P$116))</f>
        <v>RLY13-P87 / P12-C4</v>
      </c>
      <c r="G316" s="71" t="str">
        <f>C316</f>
        <v>L.10.111</v>
      </c>
      <c r="H316" s="13">
        <f>_xlfn.XLOOKUP($G316,$N$5:$N$116,$M$5:$M$116)</f>
        <v>2</v>
      </c>
      <c r="I316" s="13" t="str">
        <f>_xlfn.XLOOKUP($G316,$N$5:$N$116,$Q$5:$Q$116)</f>
        <v>Right turn signal Flashing 12V</v>
      </c>
    </row>
    <row r="317" spans="2:9" ht="13.5" thickBot="1" x14ac:dyDescent="0.25">
      <c r="B317" s="67" t="s">
        <v>561</v>
      </c>
      <c r="C317" s="16" t="str">
        <f>_xlfn.TEXTJOIN(,TRUE,_xlfn.XLOOKUP(_xlfn.TEXTJOIN(,TRUE,$B306,"-P",$B317),$O$5:$O$116,$N$5:$N$116,""), _xlfn.XLOOKUP(_xlfn.TEXTJOIN(,TRUE,$B306,"-P",$B317),$P$5:$P$116,$N$5:$N$116, ""))</f>
        <v/>
      </c>
      <c r="D317" s="16" t="e">
        <f>_xlfn.XLOOKUP($G317,$N$5:$N$116,$R$5:$R$116)</f>
        <v>#N/A</v>
      </c>
      <c r="E317" s="16" t="e">
        <f>_xlfn.XLOOKUP($G317,$N$5:$N$116,$S$5:$S$116)</f>
        <v>#N/A</v>
      </c>
      <c r="F317" s="50" t="e">
        <f>_xlfn.TEXTJOIN(" / ", TRUE,_xlfn.XLOOKUP($G317,$N$5:$N$116,$O$5:$O$116), _xlfn.XLOOKUP($G317,$N$5:$N$116,$P$5:$P$116))</f>
        <v>#N/A</v>
      </c>
      <c r="G317" s="71" t="str">
        <f>C317</f>
        <v/>
      </c>
      <c r="H317" s="13" t="e">
        <f>_xlfn.XLOOKUP($G317,$N$5:$N$116,$M$5:$M$116)</f>
        <v>#N/A</v>
      </c>
      <c r="I317" s="13" t="e">
        <f>_xlfn.XLOOKUP($G317,$N$5:$N$116,$Q$5:$Q$116)</f>
        <v>#N/A</v>
      </c>
    </row>
    <row r="319" spans="2:9" ht="15.75" customHeight="1" thickBot="1" x14ac:dyDescent="0.25"/>
    <row r="320" spans="2:9" ht="15.75" customHeight="1" thickBot="1" x14ac:dyDescent="0.3">
      <c r="B320" s="93" t="s">
        <v>576</v>
      </c>
      <c r="C320" s="94"/>
      <c r="D320" s="95"/>
      <c r="E320" s="96"/>
      <c r="F320" s="97" t="str">
        <f>_xlfn.XLOOKUP(C321,$W$5:$W$29,$AA$5:$AA$29)</f>
        <v>Left Turn Logic</v>
      </c>
    </row>
    <row r="321" spans="2:9" ht="15.75" customHeight="1" x14ac:dyDescent="0.25">
      <c r="B321" s="91" t="s">
        <v>560</v>
      </c>
      <c r="C321" s="89">
        <f>VALUE(RIGHT(B320,LEN(B320)-3))</f>
        <v>14</v>
      </c>
      <c r="D321" s="99"/>
      <c r="E321" s="99"/>
      <c r="F321" s="44"/>
    </row>
    <row r="322" spans="2:9" ht="15.75" customHeight="1" x14ac:dyDescent="0.2">
      <c r="B322" s="91" t="s">
        <v>559</v>
      </c>
      <c r="C322" s="90" t="str">
        <f>_xlfn.XLOOKUP(C321,$W$5:$W$29,$X$5:$X$29)</f>
        <v>SC: 871-1C-S-12VDC</v>
      </c>
      <c r="D322" s="11"/>
      <c r="E322" s="11"/>
      <c r="F322" s="44"/>
    </row>
    <row r="323" spans="2:9" ht="15.75" customHeight="1" x14ac:dyDescent="0.2">
      <c r="B323" s="92" t="s">
        <v>3</v>
      </c>
      <c r="C323" s="138" t="str">
        <f>_xlfn.XLOOKUP(C321,$W$5:$W$29,$AC$5:$AC$29)</f>
        <v>Allows left turn signal relay to activate if right turn signal is not on.</v>
      </c>
      <c r="D323" s="138"/>
      <c r="E323" s="138"/>
      <c r="F323" s="139"/>
    </row>
    <row r="324" spans="2:9" ht="15.75" customHeight="1" x14ac:dyDescent="0.2">
      <c r="B324" s="47"/>
      <c r="C324" s="138"/>
      <c r="D324" s="138"/>
      <c r="E324" s="138"/>
      <c r="F324" s="139"/>
    </row>
    <row r="325" spans="2:9" ht="15.75" customHeight="1" x14ac:dyDescent="0.2">
      <c r="B325" s="47"/>
      <c r="C325" s="138"/>
      <c r="D325" s="138"/>
      <c r="E325" s="138"/>
      <c r="F325" s="139"/>
    </row>
    <row r="326" spans="2:9" ht="15.75" customHeight="1" thickBot="1" x14ac:dyDescent="0.25">
      <c r="B326" s="84" t="s">
        <v>4</v>
      </c>
      <c r="C326" s="85" t="s">
        <v>11</v>
      </c>
      <c r="D326" s="85" t="s">
        <v>83</v>
      </c>
      <c r="E326" s="85" t="s">
        <v>84</v>
      </c>
      <c r="F326" s="86" t="s">
        <v>562</v>
      </c>
      <c r="G326" s="84" t="s">
        <v>11</v>
      </c>
      <c r="H326" s="85" t="s">
        <v>581</v>
      </c>
      <c r="I326" s="85" t="s">
        <v>90</v>
      </c>
    </row>
    <row r="327" spans="2:9" ht="12.75" x14ac:dyDescent="0.2">
      <c r="B327" s="77">
        <v>86</v>
      </c>
      <c r="C327" s="69" t="str">
        <f>_xlfn.TEXTJOIN(,TRUE,_xlfn.XLOOKUP(_xlfn.TEXTJOIN(,TRUE,$B320,"-P",$B327),$O$5:$O$116,$N$5:$N$116,""), _xlfn.XLOOKUP(_xlfn.TEXTJOIN(,TRUE,$B320,"-P",$B327),$P$5:$P$116,$N$5:$N$116, ""))</f>
        <v>L.10.104</v>
      </c>
      <c r="D327" s="69">
        <f>_xlfn.XLOOKUP($G327,$N$5:$N$116,$R$5:$R$116)</f>
        <v>18</v>
      </c>
      <c r="E327" s="69" t="str">
        <f>_xlfn.XLOOKUP($G327,$N$5:$N$116,$S$5:$S$116)</f>
        <v>BLACK</v>
      </c>
      <c r="F327" s="78" t="str">
        <f>_xlfn.TEXTJOIN(" / ", TRUE,_xlfn.XLOOKUP($G327,$N$5:$N$116,$O$5:$O$116), _xlfn.XLOOKUP($G327,$N$5:$N$116,$P$5:$P$116))</f>
        <v>RLY15-P30 / RLY14-P86</v>
      </c>
      <c r="G327" s="71" t="str">
        <f>C327</f>
        <v>L.10.104</v>
      </c>
      <c r="H327" s="13">
        <f>_xlfn.XLOOKUP($G327,$N$5:$N$116,$M$5:$M$116)</f>
        <v>0.15</v>
      </c>
      <c r="I327" s="13" t="str">
        <f>_xlfn.XLOOKUP($G327,$N$5:$N$116,$Q$5:$Q$116)</f>
        <v>Relay 14-15 Crossover Logic</v>
      </c>
    </row>
    <row r="328" spans="2:9" ht="15.75" customHeight="1" x14ac:dyDescent="0.2">
      <c r="B328" s="14">
        <v>85</v>
      </c>
      <c r="C328" s="13" t="str">
        <f>_xlfn.TEXTJOIN(,TRUE,_xlfn.XLOOKUP(_xlfn.TEXTJOIN(,TRUE,$B320,"-P",$B328),$O$5:$O$116,$N$5:$N$116,""), _xlfn.XLOOKUP(_xlfn.TEXTJOIN(,TRUE,$B320,"-P",$B328),$P$5:$P$116,$N$5:$N$116, ""))</f>
        <v>L.10.102</v>
      </c>
      <c r="D328" s="13">
        <f>_xlfn.XLOOKUP($G328,$N$5:$N$116,$R$5:$R$116)</f>
        <v>18</v>
      </c>
      <c r="E328" s="13" t="str">
        <f>_xlfn.XLOOKUP($G328,$N$5:$N$116,$S$5:$S$116)</f>
        <v xml:space="preserve"> LIGHT GREEN</v>
      </c>
      <c r="F328" s="48" t="str">
        <f>_xlfn.TEXTJOIN(" / ", TRUE,_xlfn.XLOOKUP($G328,$N$5:$N$116,$O$5:$O$116), _xlfn.XLOOKUP($G328,$N$5:$N$116,$P$5:$P$116))</f>
        <v>RLY14-P85 / J18</v>
      </c>
      <c r="G328" s="71" t="str">
        <f>C328</f>
        <v>L.10.102</v>
      </c>
      <c r="H328" s="13">
        <f>_xlfn.XLOOKUP($G328,$N$5:$N$116,$M$5:$M$116)</f>
        <v>0.15</v>
      </c>
      <c r="I328" s="13" t="str">
        <f>_xlfn.XLOOKUP($G328,$N$5:$N$116,$Q$5:$Q$116)</f>
        <v>24V GND - GND For Relay 14 Coil</v>
      </c>
    </row>
    <row r="329" spans="2:9" ht="15.75" customHeight="1" x14ac:dyDescent="0.2">
      <c r="B329" s="14">
        <v>30</v>
      </c>
      <c r="C329" s="13" t="str">
        <f>_xlfn.TEXTJOIN(,TRUE,_xlfn.XLOOKUP(_xlfn.TEXTJOIN(,TRUE,$B320,"-P",$B329),$O$5:$O$116,$N$5:$N$116,""), _xlfn.XLOOKUP(_xlfn.TEXTJOIN(,TRUE,$B320,"-P",$B329),$P$5:$P$116,$N$5:$N$116, ""))</f>
        <v>L.10.103</v>
      </c>
      <c r="D329" s="13">
        <f>_xlfn.XLOOKUP($G329,$N$5:$N$116,$R$5:$R$116)</f>
        <v>18</v>
      </c>
      <c r="E329" s="13" t="str">
        <f>_xlfn.XLOOKUP($G329,$N$5:$N$116,$S$5:$S$116)</f>
        <v>BLACK</v>
      </c>
      <c r="F329" s="48" t="str">
        <f>_xlfn.TEXTJOIN(" / ", TRUE,_xlfn.XLOOKUP($G329,$N$5:$N$116,$O$5:$O$116), _xlfn.XLOOKUP($G329,$N$5:$N$116,$P$5:$P$116))</f>
        <v>RLY14-P30 / RLY15-P86</v>
      </c>
      <c r="G329" s="71" t="str">
        <f>C329</f>
        <v>L.10.103</v>
      </c>
      <c r="H329" s="13">
        <f>_xlfn.XLOOKUP($G329,$N$5:$N$116,$M$5:$M$116)</f>
        <v>0.15</v>
      </c>
      <c r="I329" s="13" t="str">
        <f>_xlfn.XLOOKUP($G329,$N$5:$N$116,$Q$5:$Q$116)</f>
        <v>Relay 14-15 Crossover Logic</v>
      </c>
    </row>
    <row r="330" spans="2:9" ht="15.75" customHeight="1" x14ac:dyDescent="0.2">
      <c r="B330" s="14">
        <v>87</v>
      </c>
      <c r="C330" s="13" t="str">
        <f>_xlfn.TEXTJOIN(,TRUE,_xlfn.XLOOKUP(_xlfn.TEXTJOIN(,TRUE,$B320,"-P",$B330),$O$5:$O$116,$N$5:$N$116,""), _xlfn.XLOOKUP(_xlfn.TEXTJOIN(,TRUE,$B320,"-P",$B330),$P$5:$P$116,$N$5:$N$116, ""))</f>
        <v/>
      </c>
      <c r="D330" s="13" t="e">
        <f>_xlfn.XLOOKUP($G330,$N$5:$N$116,$R$5:$R$116)</f>
        <v>#N/A</v>
      </c>
      <c r="E330" s="13" t="e">
        <f>_xlfn.XLOOKUP($G330,$N$5:$N$116,$S$5:$S$116)</f>
        <v>#N/A</v>
      </c>
      <c r="F330" s="48" t="e">
        <f>_xlfn.TEXTJOIN(" / ", TRUE,_xlfn.XLOOKUP($G330,$N$5:$N$116,$O$5:$O$116), _xlfn.XLOOKUP($G330,$N$5:$N$116,$P$5:$P$116))</f>
        <v>#N/A</v>
      </c>
      <c r="G330" s="71" t="str">
        <f>C330</f>
        <v/>
      </c>
      <c r="H330" s="13" t="e">
        <f>_xlfn.XLOOKUP($G330,$N$5:$N$116,$M$5:$M$116)</f>
        <v>#N/A</v>
      </c>
      <c r="I330" s="13" t="e">
        <f>_xlfn.XLOOKUP($G330,$N$5:$N$116,$Q$5:$Q$116)</f>
        <v>#N/A</v>
      </c>
    </row>
    <row r="331" spans="2:9" ht="15.75" customHeight="1" thickBot="1" x14ac:dyDescent="0.25">
      <c r="B331" s="67" t="s">
        <v>561</v>
      </c>
      <c r="C331" s="16" t="str">
        <f>_xlfn.TEXTJOIN(,TRUE,_xlfn.XLOOKUP(_xlfn.TEXTJOIN(,TRUE,$B320,"-P",$B331),$O$5:$O$116,$N$5:$N$116,""), _xlfn.XLOOKUP(_xlfn.TEXTJOIN(,TRUE,$B320,"-P",$B331),$P$5:$P$116,$N$5:$N$116, ""))</f>
        <v>L.10.105</v>
      </c>
      <c r="D331" s="16">
        <f>_xlfn.XLOOKUP($G331,$N$5:$N$116,$R$5:$R$116)</f>
        <v>18</v>
      </c>
      <c r="E331" s="16" t="str">
        <f>_xlfn.XLOOKUP($G331,$N$5:$N$116,$S$5:$S$116)</f>
        <v>BLACK</v>
      </c>
      <c r="F331" s="50" t="str">
        <f>_xlfn.TEXTJOIN(" / ", TRUE,_xlfn.XLOOKUP($G331,$N$5:$N$116,$O$5:$O$116), _xlfn.XLOOKUP($G331,$N$5:$N$116,$P$5:$P$116))</f>
        <v>RLY13-P85 / RLY14-P87a</v>
      </c>
      <c r="G331" s="71" t="str">
        <f>C331</f>
        <v>L.10.105</v>
      </c>
      <c r="H331" s="13">
        <f>_xlfn.XLOOKUP($G331,$N$5:$N$116,$M$5:$M$116)</f>
        <v>0.15</v>
      </c>
      <c r="I331" s="13" t="str">
        <f>_xlfn.XLOOKUP($G331,$N$5:$N$116,$Q$5:$Q$116)</f>
        <v>Right Turn Relay to RT Logic Relay - Coil GND Logic</v>
      </c>
    </row>
    <row r="333" spans="2:9" ht="15.75" customHeight="1" thickBot="1" x14ac:dyDescent="0.25"/>
    <row r="334" spans="2:9" ht="15.75" customHeight="1" thickBot="1" x14ac:dyDescent="0.3">
      <c r="B334" s="93" t="s">
        <v>577</v>
      </c>
      <c r="C334" s="94"/>
      <c r="D334" s="95"/>
      <c r="E334" s="96"/>
      <c r="F334" s="97" t="str">
        <f>_xlfn.XLOOKUP(C335,$W$5:$W$29,$AA$5:$AA$29)</f>
        <v>Right Turn Logic</v>
      </c>
    </row>
    <row r="335" spans="2:9" ht="15.75" customHeight="1" x14ac:dyDescent="0.25">
      <c r="B335" s="91" t="s">
        <v>560</v>
      </c>
      <c r="C335" s="89">
        <f>VALUE(RIGHT(B334,LEN(B334)-3))</f>
        <v>15</v>
      </c>
      <c r="D335" s="99"/>
      <c r="E335" s="99"/>
      <c r="F335" s="44"/>
    </row>
    <row r="336" spans="2:9" ht="15.75" customHeight="1" x14ac:dyDescent="0.2">
      <c r="B336" s="91" t="s">
        <v>559</v>
      </c>
      <c r="C336" s="90" t="str">
        <f>_xlfn.XLOOKUP(C335,$W$5:$W$29,$X$5:$X$29)</f>
        <v>SC: 871-1C-S-12VDC</v>
      </c>
      <c r="D336" s="11"/>
      <c r="E336" s="11"/>
      <c r="F336" s="44"/>
    </row>
    <row r="337" spans="2:9" ht="12.75" x14ac:dyDescent="0.2">
      <c r="B337" s="92" t="s">
        <v>3</v>
      </c>
      <c r="C337" s="138" t="str">
        <f>_xlfn.XLOOKUP(C335,$W$5:$W$29,$AC$5:$AC$29)</f>
        <v>Allows right turn signal relay to activate if left turn signal is not on.</v>
      </c>
      <c r="D337" s="138"/>
      <c r="E337" s="138"/>
      <c r="F337" s="139"/>
    </row>
    <row r="338" spans="2:9" ht="15.75" customHeight="1" x14ac:dyDescent="0.2">
      <c r="B338" s="47"/>
      <c r="C338" s="138"/>
      <c r="D338" s="138"/>
      <c r="E338" s="138"/>
      <c r="F338" s="139"/>
    </row>
    <row r="339" spans="2:9" ht="15.75" customHeight="1" x14ac:dyDescent="0.2">
      <c r="B339" s="47"/>
      <c r="C339" s="138"/>
      <c r="D339" s="138"/>
      <c r="E339" s="138"/>
      <c r="F339" s="139"/>
    </row>
    <row r="340" spans="2:9" ht="15.75" customHeight="1" thickBot="1" x14ac:dyDescent="0.25">
      <c r="B340" s="84" t="s">
        <v>4</v>
      </c>
      <c r="C340" s="85" t="s">
        <v>11</v>
      </c>
      <c r="D340" s="85" t="s">
        <v>83</v>
      </c>
      <c r="E340" s="85" t="s">
        <v>84</v>
      </c>
      <c r="F340" s="86" t="s">
        <v>562</v>
      </c>
      <c r="G340" s="84" t="s">
        <v>11</v>
      </c>
      <c r="H340" s="85" t="s">
        <v>581</v>
      </c>
      <c r="I340" s="85" t="s">
        <v>90</v>
      </c>
    </row>
    <row r="341" spans="2:9" ht="15.75" customHeight="1" x14ac:dyDescent="0.2">
      <c r="B341" s="77">
        <v>86</v>
      </c>
      <c r="C341" s="69" t="str">
        <f>_xlfn.TEXTJOIN(,TRUE,_xlfn.XLOOKUP(_xlfn.TEXTJOIN(,TRUE,$B334,"-P",$B341),$O$5:$O$116,$N$5:$N$116,""), _xlfn.XLOOKUP(_xlfn.TEXTJOIN(,TRUE,$B334,"-P",$B341),$P$5:$P$116,$N$5:$N$116, ""))</f>
        <v>L.10.103</v>
      </c>
      <c r="D341" s="69">
        <f>_xlfn.XLOOKUP($G341,$N$5:$N$116,$R$5:$R$116)</f>
        <v>18</v>
      </c>
      <c r="E341" s="69" t="str">
        <f>_xlfn.XLOOKUP($G341,$N$5:$N$116,$S$5:$S$116)</f>
        <v>BLACK</v>
      </c>
      <c r="F341" s="78" t="str">
        <f>_xlfn.TEXTJOIN(" / ", TRUE,_xlfn.XLOOKUP($G341,$N$5:$N$116,$O$5:$O$116), _xlfn.XLOOKUP($G341,$N$5:$N$116,$P$5:$P$116))</f>
        <v>RLY14-P30 / RLY15-P86</v>
      </c>
      <c r="G341" s="71" t="str">
        <f>C341</f>
        <v>L.10.103</v>
      </c>
      <c r="H341" s="13">
        <f>_xlfn.XLOOKUP($G341,$N$5:$N$116,$M$5:$M$116)</f>
        <v>0.15</v>
      </c>
      <c r="I341" s="13" t="str">
        <f>_xlfn.XLOOKUP($G341,$N$5:$N$116,$Q$5:$Q$116)</f>
        <v>Relay 14-15 Crossover Logic</v>
      </c>
    </row>
    <row r="342" spans="2:9" ht="12.75" x14ac:dyDescent="0.2">
      <c r="B342" s="14">
        <v>85</v>
      </c>
      <c r="C342" s="13" t="str">
        <f>_xlfn.TEXTJOIN(,TRUE,_xlfn.XLOOKUP(_xlfn.TEXTJOIN(,TRUE,$B334,"-P",$B342),$O$5:$O$116,$N$5:$N$116,""), _xlfn.XLOOKUP(_xlfn.TEXTJOIN(,TRUE,$B334,"-P",$B342),$P$5:$P$116,$N$5:$N$116, ""))</f>
        <v>L.10.101</v>
      </c>
      <c r="D342" s="13">
        <f>_xlfn.XLOOKUP($G342,$N$5:$N$116,$R$5:$R$116)</f>
        <v>18</v>
      </c>
      <c r="E342" s="13" t="str">
        <f>_xlfn.XLOOKUP($G342,$N$5:$N$116,$S$5:$S$116)</f>
        <v xml:space="preserve"> LIGHT GREEN</v>
      </c>
      <c r="F342" s="48" t="str">
        <f>_xlfn.TEXTJOIN(" / ", TRUE,_xlfn.XLOOKUP($G342,$N$5:$N$116,$O$5:$O$116), _xlfn.XLOOKUP($G342,$N$5:$N$116,$P$5:$P$116))</f>
        <v>RLY15-P85 / J18</v>
      </c>
      <c r="G342" s="71" t="str">
        <f>C342</f>
        <v>L.10.101</v>
      </c>
      <c r="H342" s="13">
        <f>_xlfn.XLOOKUP($G342,$N$5:$N$116,$M$5:$M$116)</f>
        <v>0.15</v>
      </c>
      <c r="I342" s="13" t="str">
        <f>_xlfn.XLOOKUP($G342,$N$5:$N$116,$Q$5:$Q$116)</f>
        <v>24V GND - GND For Relay 15 Coil</v>
      </c>
    </row>
    <row r="343" spans="2:9" ht="15.75" customHeight="1" x14ac:dyDescent="0.2">
      <c r="B343" s="14">
        <v>30</v>
      </c>
      <c r="C343" s="13" t="str">
        <f>_xlfn.TEXTJOIN(,TRUE,_xlfn.XLOOKUP(_xlfn.TEXTJOIN(,TRUE,$B334,"-P",$B343),$O$5:$O$116,$N$5:$N$116,""), _xlfn.XLOOKUP(_xlfn.TEXTJOIN(,TRUE,$B334,"-P",$B343),$P$5:$P$116,$N$5:$N$116, ""))</f>
        <v>L.10.104</v>
      </c>
      <c r="D343" s="13">
        <f>_xlfn.XLOOKUP($G343,$N$5:$N$116,$R$5:$R$116)</f>
        <v>18</v>
      </c>
      <c r="E343" s="13" t="str">
        <f>_xlfn.XLOOKUP($G343,$N$5:$N$116,$S$5:$S$116)</f>
        <v>BLACK</v>
      </c>
      <c r="F343" s="48" t="str">
        <f>_xlfn.TEXTJOIN(" / ", TRUE,_xlfn.XLOOKUP($G343,$N$5:$N$116,$O$5:$O$116), _xlfn.XLOOKUP($G343,$N$5:$N$116,$P$5:$P$116))</f>
        <v>RLY15-P30 / RLY14-P86</v>
      </c>
      <c r="G343" s="71" t="str">
        <f>C343</f>
        <v>L.10.104</v>
      </c>
      <c r="H343" s="13">
        <f>_xlfn.XLOOKUP($G343,$N$5:$N$116,$M$5:$M$116)</f>
        <v>0.15</v>
      </c>
      <c r="I343" s="13" t="str">
        <f>_xlfn.XLOOKUP($G343,$N$5:$N$116,$Q$5:$Q$116)</f>
        <v>Relay 14-15 Crossover Logic</v>
      </c>
    </row>
    <row r="344" spans="2:9" ht="15.75" customHeight="1" x14ac:dyDescent="0.2">
      <c r="B344" s="14">
        <v>87</v>
      </c>
      <c r="C344" s="13" t="str">
        <f>_xlfn.TEXTJOIN(,TRUE,_xlfn.XLOOKUP(_xlfn.TEXTJOIN(,TRUE,$B334,"-P",$B344),$O$5:$O$116,$N$5:$N$116,""), _xlfn.XLOOKUP(_xlfn.TEXTJOIN(,TRUE,$B334,"-P",$B344),$P$5:$P$116,$N$5:$N$116, ""))</f>
        <v/>
      </c>
      <c r="D344" s="13" t="e">
        <f>_xlfn.XLOOKUP($G344,$N$5:$N$116,$R$5:$R$116)</f>
        <v>#N/A</v>
      </c>
      <c r="E344" s="13" t="e">
        <f>_xlfn.XLOOKUP($G344,$N$5:$N$116,$S$5:$S$116)</f>
        <v>#N/A</v>
      </c>
      <c r="F344" s="48" t="e">
        <f>_xlfn.TEXTJOIN(" / ", TRUE,_xlfn.XLOOKUP($G344,$N$5:$N$116,$O$5:$O$116), _xlfn.XLOOKUP($G344,$N$5:$N$116,$P$5:$P$116))</f>
        <v>#N/A</v>
      </c>
      <c r="G344" s="71" t="str">
        <f>C344</f>
        <v/>
      </c>
      <c r="H344" s="13" t="e">
        <f>_xlfn.XLOOKUP($G344,$N$5:$N$116,$M$5:$M$116)</f>
        <v>#N/A</v>
      </c>
      <c r="I344" s="13" t="e">
        <f>_xlfn.XLOOKUP($G344,$N$5:$N$116,$Q$5:$Q$116)</f>
        <v>#N/A</v>
      </c>
    </row>
    <row r="345" spans="2:9" ht="15.75" customHeight="1" thickBot="1" x14ac:dyDescent="0.25">
      <c r="B345" s="67" t="s">
        <v>561</v>
      </c>
      <c r="C345" s="16" t="str">
        <f>_xlfn.TEXTJOIN(,TRUE,_xlfn.XLOOKUP(_xlfn.TEXTJOIN(,TRUE,$B334,"-P",$B345),$O$5:$O$116,$N$5:$N$116,""), _xlfn.XLOOKUP(_xlfn.TEXTJOIN(,TRUE,$B334,"-P",$B345),$P$5:$P$116,$N$5:$N$116, ""))</f>
        <v>L.10.106</v>
      </c>
      <c r="D345" s="16">
        <f>_xlfn.XLOOKUP($G345,$N$5:$N$116,$R$5:$R$116)</f>
        <v>18</v>
      </c>
      <c r="E345" s="16" t="str">
        <f>_xlfn.XLOOKUP($G345,$N$5:$N$116,$S$5:$S$116)</f>
        <v>BLACK</v>
      </c>
      <c r="F345" s="50" t="str">
        <f>_xlfn.TEXTJOIN(" / ", TRUE,_xlfn.XLOOKUP($G345,$N$5:$N$116,$O$5:$O$116), _xlfn.XLOOKUP($G345,$N$5:$N$116,$P$5:$P$116))</f>
        <v>RLY12-P85 / RLY15-P87a</v>
      </c>
      <c r="G345" s="71" t="str">
        <f>C345</f>
        <v>L.10.106</v>
      </c>
      <c r="H345" s="13">
        <f>_xlfn.XLOOKUP($G345,$N$5:$N$116,$M$5:$M$116)</f>
        <v>0.15</v>
      </c>
      <c r="I345" s="13" t="str">
        <f>_xlfn.XLOOKUP($G345,$N$5:$N$116,$Q$5:$Q$116)</f>
        <v>Left Turn Relay to LT Logic Relay - Coil GND Logic</v>
      </c>
    </row>
    <row r="347" spans="2:9" ht="15.75" customHeight="1" thickBot="1" x14ac:dyDescent="0.25"/>
    <row r="348" spans="2:9" ht="15.75" customHeight="1" thickBot="1" x14ac:dyDescent="0.3">
      <c r="B348" s="93" t="s">
        <v>578</v>
      </c>
      <c r="C348" s="94"/>
      <c r="D348" s="95"/>
      <c r="E348" s="96"/>
      <c r="F348" s="97" t="str">
        <f>_xlfn.XLOOKUP(C349,$W$5:$W$29,$AA$5:$AA$29)</f>
        <v>Turn Signal Flasher</v>
      </c>
    </row>
    <row r="349" spans="2:9" ht="15.75" customHeight="1" x14ac:dyDescent="0.25">
      <c r="B349" s="91" t="s">
        <v>560</v>
      </c>
      <c r="C349" s="89">
        <f>VALUE(RIGHT(B348,LEN(B348)-3))</f>
        <v>16</v>
      </c>
      <c r="D349" s="99"/>
      <c r="E349" s="99"/>
      <c r="F349" s="44"/>
    </row>
    <row r="350" spans="2:9" ht="15.75" customHeight="1" x14ac:dyDescent="0.2">
      <c r="B350" s="91" t="s">
        <v>559</v>
      </c>
      <c r="C350" s="90" t="str">
        <f>_xlfn.XLOOKUP(C349,$W$5:$W$29,$X$5:$X$29)</f>
        <v>2 - Pin</v>
      </c>
      <c r="D350" s="11"/>
      <c r="E350" s="11"/>
      <c r="F350" s="44"/>
    </row>
    <row r="351" spans="2:9" ht="15.75" customHeight="1" x14ac:dyDescent="0.2">
      <c r="B351" s="92" t="s">
        <v>3</v>
      </c>
      <c r="C351" s="138" t="str">
        <f>_xlfn.XLOOKUP(C349,$W$5:$W$29,$AC$5:$AC$29)</f>
        <v>Provides flashing power to left &amp; right turn signal outputs.</v>
      </c>
      <c r="D351" s="138"/>
      <c r="E351" s="138"/>
      <c r="F351" s="139"/>
    </row>
    <row r="352" spans="2:9" ht="15.75" customHeight="1" x14ac:dyDescent="0.2">
      <c r="B352" s="47"/>
      <c r="C352" s="138"/>
      <c r="D352" s="138"/>
      <c r="E352" s="138"/>
      <c r="F352" s="139"/>
    </row>
    <row r="353" spans="1:9" ht="12.75" x14ac:dyDescent="0.2">
      <c r="B353" s="47"/>
      <c r="C353" s="138"/>
      <c r="D353" s="138"/>
      <c r="E353" s="138"/>
      <c r="F353" s="139"/>
    </row>
    <row r="354" spans="1:9" ht="15.75" customHeight="1" thickBot="1" x14ac:dyDescent="0.25">
      <c r="B354" s="84" t="s">
        <v>4</v>
      </c>
      <c r="C354" s="85" t="s">
        <v>11</v>
      </c>
      <c r="D354" s="85" t="s">
        <v>83</v>
      </c>
      <c r="E354" s="85" t="s">
        <v>84</v>
      </c>
      <c r="F354" s="86" t="s">
        <v>562</v>
      </c>
      <c r="G354" s="84" t="s">
        <v>11</v>
      </c>
      <c r="H354" s="85" t="s">
        <v>581</v>
      </c>
      <c r="I354" s="85" t="s">
        <v>90</v>
      </c>
    </row>
    <row r="355" spans="1:9" ht="15.75" customHeight="1" x14ac:dyDescent="0.2">
      <c r="B355" s="100" t="s">
        <v>6</v>
      </c>
      <c r="C355" s="69" t="str">
        <f>_xlfn.TEXTJOIN(,TRUE,_xlfn.XLOOKUP(_xlfn.TEXTJOIN(,TRUE,$B348,"-P",$B355),$O$5:$O$116,$N$5:$N$116,""), _xlfn.XLOOKUP(_xlfn.TEXTJOIN(,TRUE,$B348,"-P",$B355),$P$5:$P$116,$N$5:$N$116, ""))</f>
        <v>L.10.91</v>
      </c>
      <c r="D355" s="69">
        <f>_xlfn.XLOOKUP($G355,$N$5:$N$116,$R$5:$R$116)</f>
        <v>18</v>
      </c>
      <c r="E355" s="69" t="str">
        <f>_xlfn.XLOOKUP($G355,$N$5:$N$116,$S$5:$S$116)</f>
        <v>RED</v>
      </c>
      <c r="F355" s="78" t="str">
        <f>_xlfn.TEXTJOIN(" / ", TRUE,_xlfn.XLOOKUP($G355,$N$5:$N$116,$O$5:$O$116), _xlfn.XLOOKUP($G355,$N$5:$N$116,$P$5:$P$116))</f>
        <v>J17 / RLY16-PB</v>
      </c>
      <c r="G355" s="71" t="str">
        <f>C355</f>
        <v>L.10.91</v>
      </c>
      <c r="H355" s="13">
        <f>_xlfn.XLOOKUP($G355,$N$5:$N$116,$M$5:$M$116)</f>
        <v>4</v>
      </c>
      <c r="I355" s="13" t="str">
        <f>_xlfn.XLOOKUP($G355,$N$5:$N$116,$Q$5:$Q$116)</f>
        <v>+12V For LED Flasher Relay</v>
      </c>
    </row>
    <row r="356" spans="1:9" ht="15.75" customHeight="1" x14ac:dyDescent="0.2">
      <c r="B356" s="66" t="s">
        <v>17</v>
      </c>
      <c r="C356" s="13" t="str">
        <f>_xlfn.TEXTJOIN(,TRUE,_xlfn.XLOOKUP(_xlfn.TEXTJOIN(,TRUE,$B348,"-P",$B356),$O$5:$O$116,$N$5:$N$116,""), _xlfn.XLOOKUP(_xlfn.TEXTJOIN(,TRUE,$B348,"-P",$B356),$P$5:$P$116,$N$5:$N$116, ""))</f>
        <v>L.10.107</v>
      </c>
      <c r="D356" s="13">
        <f>_xlfn.XLOOKUP($G356,$N$5:$N$116,$R$5:$R$116)</f>
        <v>20</v>
      </c>
      <c r="E356" s="13" t="str">
        <f>_xlfn.XLOOKUP($G356,$N$5:$N$116,$S$5:$S$116)</f>
        <v>ORANGE</v>
      </c>
      <c r="F356" s="48" t="str">
        <f>_xlfn.TEXTJOIN(" / ", TRUE,_xlfn.XLOOKUP($G356,$N$5:$N$116,$O$5:$O$116), _xlfn.XLOOKUP($G356,$N$5:$N$116,$P$5:$P$116))</f>
        <v>RLY16-PL / J19</v>
      </c>
      <c r="G356" s="71" t="str">
        <f>C356</f>
        <v>L.10.107</v>
      </c>
      <c r="H356" s="13">
        <f>_xlfn.XLOOKUP($G356,$N$5:$N$116,$M$5:$M$116)</f>
        <v>4</v>
      </c>
      <c r="I356" s="13" t="str">
        <f>_xlfn.XLOOKUP($G356,$N$5:$N$116,$Q$5:$Q$116)</f>
        <v>LED Flasher Relay -Flash Output +12V</v>
      </c>
    </row>
    <row r="357" spans="1:9" ht="15.75" customHeight="1" x14ac:dyDescent="0.2">
      <c r="B357" s="14">
        <v>30</v>
      </c>
      <c r="C357" s="13" t="str">
        <f>_xlfn.TEXTJOIN(,TRUE,_xlfn.XLOOKUP(_xlfn.TEXTJOIN(,TRUE,$B348,"-P",$B357),$O$5:$O$116,$N$5:$N$116,""), _xlfn.XLOOKUP(_xlfn.TEXTJOIN(,TRUE,$B348,"-P",$B357),$P$5:$P$116,$N$5:$N$116, ""))</f>
        <v/>
      </c>
      <c r="D357" s="13" t="e">
        <f>_xlfn.XLOOKUP($G357,$N$5:$N$116,$R$5:$R$116)</f>
        <v>#N/A</v>
      </c>
      <c r="E357" s="13" t="e">
        <f>_xlfn.XLOOKUP($G357,$N$5:$N$116,$S$5:$S$116)</f>
        <v>#N/A</v>
      </c>
      <c r="F357" s="48" t="e">
        <f>_xlfn.TEXTJOIN(" / ", TRUE,_xlfn.XLOOKUP($G357,$N$5:$N$116,$O$5:$O$116), _xlfn.XLOOKUP($G357,$N$5:$N$116,$P$5:$P$116))</f>
        <v>#N/A</v>
      </c>
      <c r="G357" s="71" t="str">
        <f t="shared" ref="G357:G359" si="38">C357</f>
        <v/>
      </c>
      <c r="H357" s="13" t="e">
        <f>_xlfn.XLOOKUP($G357,$N$5:$N$116,$M$5:$M$116)</f>
        <v>#N/A</v>
      </c>
      <c r="I357" s="13" t="e">
        <f>_xlfn.XLOOKUP($G357,$N$5:$N$116,$Q$5:$Q$116)</f>
        <v>#N/A</v>
      </c>
    </row>
    <row r="358" spans="1:9" ht="15.75" customHeight="1" x14ac:dyDescent="0.2">
      <c r="B358" s="14">
        <v>87</v>
      </c>
      <c r="C358" s="13" t="str">
        <f>_xlfn.TEXTJOIN(,TRUE,_xlfn.XLOOKUP(_xlfn.TEXTJOIN(,TRUE,$B348,"-P",$B358),$O$5:$O$116,$N$5:$N$116,""), _xlfn.XLOOKUP(_xlfn.TEXTJOIN(,TRUE,$B348,"-P",$B358),$P$5:$P$116,$N$5:$N$116, ""))</f>
        <v/>
      </c>
      <c r="D358" s="13" t="e">
        <f>_xlfn.XLOOKUP($G358,$N$5:$N$116,$R$5:$R$116)</f>
        <v>#N/A</v>
      </c>
      <c r="E358" s="13" t="e">
        <f>_xlfn.XLOOKUP($G358,$N$5:$N$116,$S$5:$S$116)</f>
        <v>#N/A</v>
      </c>
      <c r="F358" s="48" t="e">
        <f>_xlfn.TEXTJOIN(" / ", TRUE,_xlfn.XLOOKUP($G358,$N$5:$N$116,$O$5:$O$116), _xlfn.XLOOKUP($G358,$N$5:$N$116,$P$5:$P$116))</f>
        <v>#N/A</v>
      </c>
      <c r="G358" s="71" t="str">
        <f t="shared" si="38"/>
        <v/>
      </c>
      <c r="H358" s="13" t="e">
        <f>_xlfn.XLOOKUP($G358,$N$5:$N$116,$M$5:$M$116)</f>
        <v>#N/A</v>
      </c>
      <c r="I358" s="13" t="e">
        <f>_xlfn.XLOOKUP($G358,$N$5:$N$116,$Q$5:$Q$116)</f>
        <v>#N/A</v>
      </c>
    </row>
    <row r="359" spans="1:9" ht="15.75" customHeight="1" thickBot="1" x14ac:dyDescent="0.25">
      <c r="B359" s="67" t="s">
        <v>561</v>
      </c>
      <c r="C359" s="16" t="str">
        <f>_xlfn.TEXTJOIN(,TRUE,_xlfn.XLOOKUP(_xlfn.TEXTJOIN(,TRUE,$B348,"-P",$B359),$O$5:$O$116,$N$5:$N$116,""), _xlfn.XLOOKUP(_xlfn.TEXTJOIN(,TRUE,$B348,"-P",$B359),$P$5:$P$116,$N$5:$N$116, ""))</f>
        <v/>
      </c>
      <c r="D359" s="16" t="e">
        <f>_xlfn.XLOOKUP($G359,$N$5:$N$116,$R$5:$R$116)</f>
        <v>#N/A</v>
      </c>
      <c r="E359" s="16" t="e">
        <f>_xlfn.XLOOKUP($G359,$N$5:$N$116,$S$5:$S$116)</f>
        <v>#N/A</v>
      </c>
      <c r="F359" s="50" t="e">
        <f>_xlfn.TEXTJOIN(" / ", TRUE,_xlfn.XLOOKUP($G359,$N$5:$N$116,$O$5:$O$116), _xlfn.XLOOKUP($G359,$N$5:$N$116,$P$5:$P$116))</f>
        <v>#N/A</v>
      </c>
      <c r="G359" s="71" t="str">
        <f t="shared" si="38"/>
        <v/>
      </c>
      <c r="H359" s="13" t="e">
        <f>_xlfn.XLOOKUP($G359,$N$5:$N$116,$M$5:$M$116)</f>
        <v>#N/A</v>
      </c>
      <c r="I359" s="13" t="e">
        <f>_xlfn.XLOOKUP($G359,$N$5:$N$116,$Q$5:$Q$116)</f>
        <v>#N/A</v>
      </c>
    </row>
    <row r="362" spans="1:9" ht="15.75" customHeight="1" x14ac:dyDescent="0.2">
      <c r="A362" s="87"/>
      <c r="B362" s="87"/>
      <c r="C362" s="87"/>
      <c r="D362" s="87"/>
      <c r="E362" s="87"/>
      <c r="F362" s="87"/>
      <c r="G362" s="87"/>
      <c r="H362" s="87"/>
      <c r="I362" s="87"/>
    </row>
    <row r="363" spans="1:9" ht="12.75" x14ac:dyDescent="0.2"/>
    <row r="364" spans="1:9" ht="15.75" customHeight="1" thickBot="1" x14ac:dyDescent="0.25"/>
    <row r="365" spans="1:9" ht="15.75" customHeight="1" thickBot="1" x14ac:dyDescent="0.3">
      <c r="B365" s="93" t="s">
        <v>317</v>
      </c>
      <c r="C365" s="94"/>
      <c r="D365" s="95"/>
      <c r="E365" s="96"/>
      <c r="F365" s="97" t="str">
        <f>_xlfn.XLOOKUP(C366,$W$32:$W$47,$AA$32:$AA$47)</f>
        <v>Bank Angle - Ignition</v>
      </c>
    </row>
    <row r="366" spans="1:9" ht="15.75" customHeight="1" x14ac:dyDescent="0.25">
      <c r="B366" s="91" t="s">
        <v>560</v>
      </c>
      <c r="C366" s="89">
        <f>VALUE(RIGHT(B365,LEN(B365)-1))</f>
        <v>1</v>
      </c>
      <c r="D366" s="101" t="s">
        <v>580</v>
      </c>
      <c r="E366" s="90">
        <f>_xlfn.XLOOKUP(C366,$W$32:$W$47,$Z$32:$Z$47)</f>
        <v>20</v>
      </c>
      <c r="F366" s="44"/>
    </row>
    <row r="367" spans="1:9" ht="15.75" customHeight="1" x14ac:dyDescent="0.2">
      <c r="B367" s="91" t="s">
        <v>579</v>
      </c>
      <c r="C367" s="90" t="str">
        <f>_xlfn.XLOOKUP(C366,$W$32:$W$47,$X$32:$X$47)</f>
        <v>ATM Mini</v>
      </c>
      <c r="D367" s="11"/>
      <c r="E367" s="11"/>
      <c r="F367" s="44"/>
    </row>
    <row r="368" spans="1:9" ht="15.75" customHeight="1" x14ac:dyDescent="0.2">
      <c r="B368" s="92" t="s">
        <v>3</v>
      </c>
      <c r="C368" s="138" t="str">
        <f>_xlfn.XLOOKUP(C366,$W$32:$W$47,$AC$32:$AC$47)</f>
        <v>Main load is only the two coil packs</v>
      </c>
      <c r="D368" s="138"/>
      <c r="E368" s="138"/>
      <c r="F368" s="139"/>
    </row>
    <row r="369" spans="2:9" ht="15.75" customHeight="1" x14ac:dyDescent="0.2">
      <c r="B369" s="88" t="str" cm="1">
        <f t="array" ref="B369">_xlfn.TEXTJOIN(", ", TRUE, _xlfn._xlws.FILTER($N$5:$N$116, ($O$5:$O$116=$B365)+($P$5:$P$116=$B365)))</f>
        <v>L.10.1, L.10.7</v>
      </c>
      <c r="C369" s="138"/>
      <c r="D369" s="138"/>
      <c r="E369" s="138"/>
      <c r="F369" s="139"/>
    </row>
    <row r="370" spans="2:9" ht="15.75" customHeight="1" x14ac:dyDescent="0.2">
      <c r="B370" s="47"/>
      <c r="C370" s="138"/>
      <c r="D370" s="138"/>
      <c r="E370" s="138"/>
      <c r="F370" s="139"/>
    </row>
    <row r="371" spans="2:9" ht="15.75" customHeight="1" thickBot="1" x14ac:dyDescent="0.25">
      <c r="B371" s="84" t="s">
        <v>4</v>
      </c>
      <c r="C371" s="85" t="s">
        <v>11</v>
      </c>
      <c r="D371" s="85" t="s">
        <v>83</v>
      </c>
      <c r="E371" s="85" t="s">
        <v>84</v>
      </c>
      <c r="F371" s="86" t="s">
        <v>562</v>
      </c>
      <c r="G371" s="102" t="s">
        <v>11</v>
      </c>
      <c r="H371" s="98" t="s">
        <v>581</v>
      </c>
      <c r="I371" s="98" t="s">
        <v>90</v>
      </c>
    </row>
    <row r="372" spans="2:9" ht="15.75" customHeight="1" x14ac:dyDescent="0.2">
      <c r="B372" s="100">
        <v>1</v>
      </c>
      <c r="C372" s="69" t="str">
        <f>TRIM(LEFT($B369, FIND(",", $B369)-1))</f>
        <v>L.10.1</v>
      </c>
      <c r="D372" s="69">
        <f>_xlfn.XLOOKUP($G372,$N$5:$N$116,$R$5:$R$116)</f>
        <v>12</v>
      </c>
      <c r="E372" s="69" t="str">
        <f>_xlfn.XLOOKUP($G372,$N$5:$N$116,$S$5:$S$116)</f>
        <v>RED</v>
      </c>
      <c r="F372" s="78" t="str">
        <f>_xlfn.TEXTJOIN(" / ", TRUE,_xlfn.XLOOKUP($G372,$N$5:$N$116,$O$5:$O$116), _xlfn.XLOOKUP($G372,$N$5:$N$116,$P$5:$P$116))</f>
        <v>BAT + / F1</v>
      </c>
      <c r="G372" s="71" t="str">
        <f>C372</f>
        <v>L.10.1</v>
      </c>
      <c r="H372" s="13">
        <f>_xlfn.XLOOKUP($G372,$N$5:$N$116,$M$5:$M$116)</f>
        <v>15.3</v>
      </c>
      <c r="I372" s="13" t="str">
        <f>_xlfn.XLOOKUP($G372,$N$5:$N$116,$Q$5:$Q$116)</f>
        <v>+12V Straight from battery</v>
      </c>
    </row>
    <row r="373" spans="2:9" ht="13.5" thickBot="1" x14ac:dyDescent="0.25">
      <c r="B373" s="67">
        <v>2</v>
      </c>
      <c r="C373" s="16" t="str">
        <f>TRIM(MID($B369, FIND(",", $B369)+1, LEN($B369)))</f>
        <v>L.10.7</v>
      </c>
      <c r="D373" s="16">
        <f>_xlfn.XLOOKUP($G373,$N$5:$N$116,$R$5:$R$116)</f>
        <v>12</v>
      </c>
      <c r="E373" s="16" t="str">
        <f>_xlfn.XLOOKUP($G373,$N$5:$N$116,$S$5:$S$116)</f>
        <v>RED</v>
      </c>
      <c r="F373" s="50" t="str">
        <f>_xlfn.TEXTJOIN(" / ", TRUE,_xlfn.XLOOKUP($G373,$N$5:$N$116,$O$5:$O$116), _xlfn.XLOOKUP($G373,$N$5:$N$116,$P$5:$P$116))</f>
        <v>F1 / RLY1-P30</v>
      </c>
      <c r="G373" s="71" t="str">
        <f>C373</f>
        <v>L.10.7</v>
      </c>
      <c r="H373" s="13">
        <f>_xlfn.XLOOKUP($G373,$N$5:$N$116,$M$5:$M$116)</f>
        <v>15.3</v>
      </c>
      <c r="I373" s="13" t="str">
        <f>_xlfn.XLOOKUP($G373,$N$5:$N$116,$Q$5:$Q$116)</f>
        <v>Relay 1 (Bank Angle) +12V Power Supply</v>
      </c>
    </row>
    <row r="375" spans="2:9" ht="15.75" customHeight="1" thickBot="1" x14ac:dyDescent="0.25"/>
    <row r="376" spans="2:9" ht="15.75" customHeight="1" thickBot="1" x14ac:dyDescent="0.3">
      <c r="B376" s="93" t="s">
        <v>318</v>
      </c>
      <c r="C376" s="94"/>
      <c r="D376" s="95"/>
      <c r="E376" s="96"/>
      <c r="F376" s="97" t="str">
        <f>_xlfn.XLOOKUP(C377,$W$32:$W$47,$AA$32:$AA$47)</f>
        <v>Fuel Power</v>
      </c>
    </row>
    <row r="377" spans="2:9" ht="15.75" customHeight="1" x14ac:dyDescent="0.25">
      <c r="B377" s="91" t="s">
        <v>560</v>
      </c>
      <c r="C377" s="89">
        <f>VALUE(RIGHT(B376,LEN(B376)-1))</f>
        <v>2</v>
      </c>
      <c r="D377" s="101" t="s">
        <v>580</v>
      </c>
      <c r="E377" s="90">
        <f>_xlfn.XLOOKUP(C377,$W$32:$W$47,$Z$32:$Z$47)</f>
        <v>15</v>
      </c>
      <c r="F377" s="44"/>
    </row>
    <row r="378" spans="2:9" ht="15.75" customHeight="1" x14ac:dyDescent="0.2">
      <c r="B378" s="91" t="s">
        <v>579</v>
      </c>
      <c r="C378" s="90" t="str">
        <f>_xlfn.XLOOKUP(C377,$W$32:$W$47,$X$32:$X$47)</f>
        <v>ATM Mini</v>
      </c>
      <c r="D378" s="11"/>
      <c r="E378" s="11"/>
      <c r="F378" s="44"/>
    </row>
    <row r="379" spans="2:9" ht="15.75" customHeight="1" x14ac:dyDescent="0.2">
      <c r="B379" s="92" t="s">
        <v>3</v>
      </c>
      <c r="C379" s="138" t="str">
        <f>_xlfn.XLOOKUP(C377,$W$32:$W$47,$AC$32:$AC$47)</f>
        <v>Supplies power for fuel pump and fuel injectors</v>
      </c>
      <c r="D379" s="138"/>
      <c r="E379" s="138"/>
      <c r="F379" s="139"/>
    </row>
    <row r="380" spans="2:9" ht="15.75" customHeight="1" x14ac:dyDescent="0.2">
      <c r="B380" s="88" t="str" cm="1">
        <f t="array" ref="B380">_xlfn.TEXTJOIN(", ", TRUE, _xlfn._xlws.FILTER($N$5:$N$116, ($O$5:$O$116=$B376)+($P$5:$P$116=$B376)))</f>
        <v>L.10.2, L.10.8</v>
      </c>
      <c r="C380" s="138"/>
      <c r="D380" s="138"/>
      <c r="E380" s="138"/>
      <c r="F380" s="139"/>
    </row>
    <row r="381" spans="2:9" ht="15.75" customHeight="1" x14ac:dyDescent="0.2">
      <c r="B381" s="47"/>
      <c r="C381" s="138"/>
      <c r="D381" s="138"/>
      <c r="E381" s="138"/>
      <c r="F381" s="139"/>
    </row>
    <row r="382" spans="2:9" ht="15.75" customHeight="1" thickBot="1" x14ac:dyDescent="0.25">
      <c r="B382" s="84" t="s">
        <v>4</v>
      </c>
      <c r="C382" s="85" t="s">
        <v>11</v>
      </c>
      <c r="D382" s="85" t="s">
        <v>83</v>
      </c>
      <c r="E382" s="85" t="s">
        <v>84</v>
      </c>
      <c r="F382" s="86" t="s">
        <v>562</v>
      </c>
      <c r="G382" s="102" t="s">
        <v>11</v>
      </c>
      <c r="H382" s="98" t="s">
        <v>581</v>
      </c>
      <c r="I382" s="98" t="s">
        <v>90</v>
      </c>
    </row>
    <row r="383" spans="2:9" ht="12.75" x14ac:dyDescent="0.2">
      <c r="B383" s="100">
        <v>1</v>
      </c>
      <c r="C383" s="69" t="str">
        <f>TRIM(LEFT($B380, FIND(",", $B380)-1))</f>
        <v>L.10.2</v>
      </c>
      <c r="D383" s="69">
        <f>_xlfn.XLOOKUP($G383,$N$5:$N$116,$R$5:$R$116)</f>
        <v>12</v>
      </c>
      <c r="E383" s="69" t="str">
        <f>_xlfn.XLOOKUP($G383,$N$5:$N$116,$S$5:$S$116)</f>
        <v>RED</v>
      </c>
      <c r="F383" s="78" t="str">
        <f>_xlfn.TEXTJOIN(" / ", TRUE,_xlfn.XLOOKUP($G383,$N$5:$N$116,$O$5:$O$116), _xlfn.XLOOKUP($G383,$N$5:$N$116,$P$5:$P$116))</f>
        <v>BAT + / F2</v>
      </c>
      <c r="G383" s="71" t="str">
        <f>C383</f>
        <v>L.10.2</v>
      </c>
      <c r="H383" s="13">
        <f>_xlfn.XLOOKUP($G383,$N$5:$N$116,$M$5:$M$116)</f>
        <v>10.65</v>
      </c>
      <c r="I383" s="13" t="str">
        <f>_xlfn.XLOOKUP($G383,$N$5:$N$116,$Q$5:$Q$116)</f>
        <v>+12V Straight from battery</v>
      </c>
    </row>
    <row r="384" spans="2:9" ht="15.75" customHeight="1" thickBot="1" x14ac:dyDescent="0.25">
      <c r="B384" s="67">
        <v>2</v>
      </c>
      <c r="C384" s="16" t="str">
        <f>TRIM(MID($B380, FIND(",", $B380)+1, LEN($B380)))</f>
        <v>L.10.8</v>
      </c>
      <c r="D384" s="16">
        <f>_xlfn.XLOOKUP($G384,$N$5:$N$116,$R$5:$R$116)</f>
        <v>12</v>
      </c>
      <c r="E384" s="16" t="str">
        <f>_xlfn.XLOOKUP($G384,$N$5:$N$116,$S$5:$S$116)</f>
        <v>RED</v>
      </c>
      <c r="F384" s="50" t="str">
        <f>_xlfn.TEXTJOIN(" / ", TRUE,_xlfn.XLOOKUP($G384,$N$5:$N$116,$O$5:$O$116), _xlfn.XLOOKUP($G384,$N$5:$N$116,$P$5:$P$116))</f>
        <v>F2 / RLY2-P30</v>
      </c>
      <c r="G384" s="71" t="str">
        <f>C384</f>
        <v>L.10.8</v>
      </c>
      <c r="H384" s="13">
        <f>_xlfn.XLOOKUP($G384,$N$5:$N$116,$M$5:$M$116)</f>
        <v>10.65</v>
      </c>
      <c r="I384" s="13" t="str">
        <f>_xlfn.XLOOKUP($G384,$N$5:$N$116,$Q$5:$Q$116)</f>
        <v>Relay 2 (Fuel) +12V Power Supply</v>
      </c>
    </row>
    <row r="386" spans="2:9" ht="15.75" customHeight="1" thickBot="1" x14ac:dyDescent="0.25"/>
    <row r="387" spans="2:9" ht="15.75" customHeight="1" thickBot="1" x14ac:dyDescent="0.3">
      <c r="B387" s="93" t="s">
        <v>319</v>
      </c>
      <c r="C387" s="94"/>
      <c r="D387" s="95"/>
      <c r="E387" s="96"/>
      <c r="F387" s="97" t="str">
        <f>_xlfn.XLOOKUP(C388,$W$32:$W$47,$AA$32:$AA$47)</f>
        <v>Fan</v>
      </c>
    </row>
    <row r="388" spans="2:9" ht="15.75" customHeight="1" x14ac:dyDescent="0.25">
      <c r="B388" s="91" t="s">
        <v>560</v>
      </c>
      <c r="C388" s="89">
        <f>VALUE(RIGHT(B387,LEN(B387)-1))</f>
        <v>3</v>
      </c>
      <c r="D388" s="101" t="s">
        <v>580</v>
      </c>
      <c r="E388" s="90">
        <f>_xlfn.XLOOKUP(C388,$W$32:$W$47,$Z$32:$Z$47)</f>
        <v>15</v>
      </c>
      <c r="F388" s="44"/>
    </row>
    <row r="389" spans="2:9" ht="15.75" customHeight="1" x14ac:dyDescent="0.2">
      <c r="B389" s="91" t="s">
        <v>579</v>
      </c>
      <c r="C389" s="90" t="str">
        <f>_xlfn.XLOOKUP(C388,$W$32:$W$47,$X$32:$X$47)</f>
        <v>ATM Mini</v>
      </c>
      <c r="D389" s="11"/>
      <c r="E389" s="11"/>
      <c r="F389" s="44"/>
    </row>
    <row r="390" spans="2:9" ht="15.75" customHeight="1" x14ac:dyDescent="0.2">
      <c r="B390" s="92" t="s">
        <v>3</v>
      </c>
      <c r="C390" s="138" t="str">
        <f>_xlfn.XLOOKUP(C388,$W$32:$W$47,$AC$32:$AC$47)</f>
        <v>Power to the SPAL fans</v>
      </c>
      <c r="D390" s="138"/>
      <c r="E390" s="138"/>
      <c r="F390" s="139"/>
    </row>
    <row r="391" spans="2:9" ht="15.75" customHeight="1" x14ac:dyDescent="0.2">
      <c r="B391" s="88" t="str" cm="1">
        <f t="array" ref="B391">_xlfn.TEXTJOIN(", ", TRUE, _xlfn._xlws.FILTER($N$5:$N$116, ($O$5:$O$116=$B387)+($P$5:$P$116=$B387)))</f>
        <v>L.10.3, L.10.9</v>
      </c>
      <c r="C391" s="138"/>
      <c r="D391" s="138"/>
      <c r="E391" s="138"/>
      <c r="F391" s="139"/>
    </row>
    <row r="392" spans="2:9" ht="15.75" customHeight="1" x14ac:dyDescent="0.2">
      <c r="B392" s="47"/>
      <c r="C392" s="138"/>
      <c r="D392" s="138"/>
      <c r="E392" s="138"/>
      <c r="F392" s="139"/>
    </row>
    <row r="393" spans="2:9" ht="13.5" thickBot="1" x14ac:dyDescent="0.25">
      <c r="B393" s="84" t="s">
        <v>4</v>
      </c>
      <c r="C393" s="85" t="s">
        <v>11</v>
      </c>
      <c r="D393" s="85" t="s">
        <v>83</v>
      </c>
      <c r="E393" s="85" t="s">
        <v>84</v>
      </c>
      <c r="F393" s="86" t="s">
        <v>562</v>
      </c>
      <c r="G393" s="102" t="s">
        <v>11</v>
      </c>
      <c r="H393" s="98" t="s">
        <v>581</v>
      </c>
      <c r="I393" s="98" t="s">
        <v>90</v>
      </c>
    </row>
    <row r="394" spans="2:9" ht="15.75" customHeight="1" x14ac:dyDescent="0.2">
      <c r="B394" s="100">
        <v>1</v>
      </c>
      <c r="C394" s="69" t="str">
        <f>TRIM(LEFT($B391, FIND(",", $B391)-1))</f>
        <v>L.10.3</v>
      </c>
      <c r="D394" s="69">
        <f>_xlfn.XLOOKUP($G394,$N$5:$N$116,$R$5:$R$116)</f>
        <v>12</v>
      </c>
      <c r="E394" s="69" t="str">
        <f>_xlfn.XLOOKUP($G394,$N$5:$N$116,$S$5:$S$116)</f>
        <v>RED</v>
      </c>
      <c r="F394" s="78" t="str">
        <f>_xlfn.TEXTJOIN(" / ", TRUE,_xlfn.XLOOKUP($G394,$N$5:$N$116,$O$5:$O$116), _xlfn.XLOOKUP($G394,$N$5:$N$116,$P$5:$P$116))</f>
        <v>BAT + / F3</v>
      </c>
      <c r="G394" s="71" t="str">
        <f>C394</f>
        <v>L.10.3</v>
      </c>
      <c r="H394" s="13">
        <f>_xlfn.XLOOKUP($G394,$N$5:$N$116,$M$5:$M$116)</f>
        <v>10.15</v>
      </c>
      <c r="I394" s="13" t="str">
        <f>_xlfn.XLOOKUP($G394,$N$5:$N$116,$Q$5:$Q$116)</f>
        <v>+12V Straight from battery</v>
      </c>
    </row>
    <row r="395" spans="2:9" ht="15.75" customHeight="1" thickBot="1" x14ac:dyDescent="0.25">
      <c r="B395" s="67">
        <v>2</v>
      </c>
      <c r="C395" s="16" t="str">
        <f>TRIM(MID($B391, FIND(",", $B391)+1, LEN($B391)))</f>
        <v>L.10.9</v>
      </c>
      <c r="D395" s="16">
        <f>_xlfn.XLOOKUP($G395,$N$5:$N$116,$R$5:$R$116)</f>
        <v>12</v>
      </c>
      <c r="E395" s="16" t="str">
        <f>_xlfn.XLOOKUP($G395,$N$5:$N$116,$S$5:$S$116)</f>
        <v>RED</v>
      </c>
      <c r="F395" s="50" t="str">
        <f>_xlfn.TEXTJOIN(" / ", TRUE,_xlfn.XLOOKUP($G395,$N$5:$N$116,$O$5:$O$116), _xlfn.XLOOKUP($G395,$N$5:$N$116,$P$5:$P$116))</f>
        <v>F3 / RLY3-P30</v>
      </c>
      <c r="G395" s="71" t="str">
        <f>C395</f>
        <v>L.10.9</v>
      </c>
      <c r="H395" s="13">
        <f>_xlfn.XLOOKUP($G395,$N$5:$N$116,$M$5:$M$116)</f>
        <v>10.15</v>
      </c>
      <c r="I395" s="13" t="str">
        <f>_xlfn.XLOOKUP($G395,$N$5:$N$116,$Q$5:$Q$116)</f>
        <v>Relay 3 (Fan) +12V Power Supply</v>
      </c>
    </row>
    <row r="397" spans="2:9" ht="15.75" customHeight="1" thickBot="1" x14ac:dyDescent="0.25"/>
    <row r="398" spans="2:9" ht="15.75" customHeight="1" thickBot="1" x14ac:dyDescent="0.3">
      <c r="B398" s="93" t="s">
        <v>320</v>
      </c>
      <c r="C398" s="94"/>
      <c r="D398" s="95"/>
      <c r="E398" s="96"/>
      <c r="F398" s="97" t="str">
        <f>_xlfn.XLOOKUP(C399,$W$32:$W$47,$AA$32:$AA$47)</f>
        <v>HeadLight - Highbeam</v>
      </c>
    </row>
    <row r="399" spans="2:9" ht="15.75" customHeight="1" x14ac:dyDescent="0.25">
      <c r="B399" s="91" t="s">
        <v>560</v>
      </c>
      <c r="C399" s="89">
        <f>VALUE(RIGHT(B398,LEN(B398)-1))</f>
        <v>4</v>
      </c>
      <c r="D399" s="101" t="s">
        <v>580</v>
      </c>
      <c r="E399" s="90">
        <f>_xlfn.XLOOKUP(C399,$W$32:$W$47,$Z$32:$Z$47)</f>
        <v>10</v>
      </c>
      <c r="F399" s="44"/>
      <c r="G399" s="3" t="s">
        <v>582</v>
      </c>
    </row>
    <row r="400" spans="2:9" ht="15.75" customHeight="1" x14ac:dyDescent="0.2">
      <c r="B400" s="91" t="s">
        <v>579</v>
      </c>
      <c r="C400" s="90" t="str">
        <f>_xlfn.XLOOKUP(C399,$W$32:$W$47,$X$32:$X$47)</f>
        <v>ATM Mini</v>
      </c>
      <c r="D400" s="11"/>
      <c r="E400" s="11"/>
      <c r="F400" s="44"/>
    </row>
    <row r="401" spans="2:9" ht="15.75" customHeight="1" x14ac:dyDescent="0.2">
      <c r="B401" s="92" t="s">
        <v>3</v>
      </c>
      <c r="C401" s="138" t="str">
        <f>_xlfn.XLOOKUP(C399,$W$32:$W$47,$AC$32:$AC$47)</f>
        <v>Power for the Highbeam Head Lights</v>
      </c>
      <c r="D401" s="138"/>
      <c r="E401" s="138"/>
      <c r="F401" s="139"/>
    </row>
    <row r="402" spans="2:9" ht="15.75" customHeight="1" x14ac:dyDescent="0.2">
      <c r="B402" s="88" t="str" cm="1">
        <f t="array" ref="B402">_xlfn.TEXTJOIN(", ", TRUE, _xlfn._xlws.FILTER($N$5:$N$116, ($O$5:$O$116=$B398)+($P$5:$P$116=$B398)))</f>
        <v>L.10.4, L.10.10</v>
      </c>
      <c r="C402" s="138"/>
      <c r="D402" s="138"/>
      <c r="E402" s="138"/>
      <c r="F402" s="139"/>
    </row>
    <row r="403" spans="2:9" ht="12.75" x14ac:dyDescent="0.2">
      <c r="B403" s="47"/>
      <c r="C403" s="138"/>
      <c r="D403" s="138"/>
      <c r="E403" s="138"/>
      <c r="F403" s="139"/>
    </row>
    <row r="404" spans="2:9" ht="15.75" customHeight="1" thickBot="1" x14ac:dyDescent="0.25">
      <c r="B404" s="84" t="s">
        <v>4</v>
      </c>
      <c r="C404" s="85" t="s">
        <v>11</v>
      </c>
      <c r="D404" s="85" t="s">
        <v>83</v>
      </c>
      <c r="E404" s="85" t="s">
        <v>84</v>
      </c>
      <c r="F404" s="86" t="s">
        <v>562</v>
      </c>
      <c r="G404" s="102" t="s">
        <v>11</v>
      </c>
      <c r="H404" s="98" t="s">
        <v>581</v>
      </c>
      <c r="I404" s="98" t="s">
        <v>90</v>
      </c>
    </row>
    <row r="405" spans="2:9" ht="15.75" customHeight="1" x14ac:dyDescent="0.2">
      <c r="B405" s="100">
        <v>1</v>
      </c>
      <c r="C405" s="69" t="str">
        <f>TRIM(LEFT($B402, FIND(",", $B402)-1))</f>
        <v>L.10.4</v>
      </c>
      <c r="D405" s="69">
        <f>_xlfn.XLOOKUP($G405,$N$5:$N$116,$R$5:$R$116)</f>
        <v>12</v>
      </c>
      <c r="E405" s="69" t="str">
        <f>_xlfn.XLOOKUP($G405,$N$5:$N$116,$S$5:$S$116)</f>
        <v>RED</v>
      </c>
      <c r="F405" s="78" t="str">
        <f>_xlfn.TEXTJOIN(" / ", TRUE,_xlfn.XLOOKUP($G405,$N$5:$N$116,$O$5:$O$116), _xlfn.XLOOKUP($G405,$N$5:$N$116,$P$5:$P$116))</f>
        <v>BAT + / F4</v>
      </c>
      <c r="G405" s="71" t="str">
        <f>C405</f>
        <v>L.10.4</v>
      </c>
      <c r="H405" s="13">
        <f>_xlfn.XLOOKUP($G405,$N$5:$N$116,$M$5:$M$116)</f>
        <v>14.3</v>
      </c>
      <c r="I405" s="13" t="str">
        <f>_xlfn.XLOOKUP($G405,$N$5:$N$116,$Q$5:$Q$116)</f>
        <v>+12V Straight from battery</v>
      </c>
    </row>
    <row r="406" spans="2:9" ht="15.75" customHeight="1" thickBot="1" x14ac:dyDescent="0.25">
      <c r="B406" s="67">
        <v>2</v>
      </c>
      <c r="C406" s="16" t="str">
        <f>TRIM(MID($B402, FIND(",", $B402)+1, LEN($B402)))</f>
        <v>L.10.10</v>
      </c>
      <c r="D406" s="16">
        <f>_xlfn.XLOOKUP($G406,$N$5:$N$116,$R$5:$R$116)</f>
        <v>12</v>
      </c>
      <c r="E406" s="16" t="str">
        <f>_xlfn.XLOOKUP($G406,$N$5:$N$116,$S$5:$S$116)</f>
        <v>RED</v>
      </c>
      <c r="F406" s="50" t="str">
        <f>_xlfn.TEXTJOIN(" / ", TRUE,_xlfn.XLOOKUP($G406,$N$5:$N$116,$O$5:$O$116), _xlfn.XLOOKUP($G406,$N$5:$N$116,$P$5:$P$116))</f>
        <v>F4 / RLY4-P30</v>
      </c>
      <c r="G406" s="71" t="str">
        <f>C406</f>
        <v>L.10.10</v>
      </c>
      <c r="H406" s="13">
        <f>_xlfn.XLOOKUP($G406,$N$5:$N$116,$M$5:$M$116)</f>
        <v>14.3</v>
      </c>
      <c r="I406" s="13" t="str">
        <f>_xlfn.XLOOKUP($G406,$N$5:$N$116,$Q$5:$Q$116)</f>
        <v>Relay 4 (HL) +12V Power Supply</v>
      </c>
    </row>
    <row r="408" spans="2:9" ht="15.75" customHeight="1" thickBot="1" x14ac:dyDescent="0.25"/>
    <row r="409" spans="2:9" ht="15.75" customHeight="1" thickBot="1" x14ac:dyDescent="0.3">
      <c r="B409" s="93" t="s">
        <v>321</v>
      </c>
      <c r="C409" s="94"/>
      <c r="D409" s="95"/>
      <c r="E409" s="96"/>
      <c r="F409" s="97" t="str">
        <f>_xlfn.XLOOKUP(C410,$W$32:$W$47,$AA$32:$AA$47)</f>
        <v>Misc Power 1</v>
      </c>
    </row>
    <row r="410" spans="2:9" ht="15.75" customHeight="1" x14ac:dyDescent="0.25">
      <c r="B410" s="91" t="s">
        <v>560</v>
      </c>
      <c r="C410" s="89">
        <f>VALUE(RIGHT(B409,LEN(B409)-1))</f>
        <v>5</v>
      </c>
      <c r="D410" s="101" t="s">
        <v>580</v>
      </c>
      <c r="E410" s="90">
        <f>_xlfn.XLOOKUP(C410,$W$32:$W$47,$Z$32:$Z$47)</f>
        <v>15</v>
      </c>
      <c r="F410" s="44"/>
    </row>
    <row r="411" spans="2:9" ht="15.75" customHeight="1" x14ac:dyDescent="0.2">
      <c r="B411" s="91" t="s">
        <v>579</v>
      </c>
      <c r="C411" s="90" t="str">
        <f>_xlfn.XLOOKUP(C410,$W$32:$W$47,$X$32:$X$47)</f>
        <v>ATM Mini</v>
      </c>
      <c r="D411" s="11"/>
      <c r="E411" s="11"/>
      <c r="F411" s="44"/>
    </row>
    <row r="412" spans="2:9" ht="15.75" customHeight="1" x14ac:dyDescent="0.2">
      <c r="B412" s="92" t="s">
        <v>3</v>
      </c>
      <c r="C412" s="138" t="str">
        <f>_xlfn.XLOOKUP(C410,$W$32:$W$47,$AC$32:$AC$47)</f>
        <v>Power for the FT550 and light bar. 12V sensors, WB02 Nano pros. Possible exspansion in the future</v>
      </c>
      <c r="D412" s="138"/>
      <c r="E412" s="138"/>
      <c r="F412" s="139"/>
    </row>
    <row r="413" spans="2:9" ht="15.75" customHeight="1" x14ac:dyDescent="0.2">
      <c r="B413" s="88" t="str" cm="1">
        <f t="array" ref="B413">_xlfn.TEXTJOIN(", ", TRUE, _xlfn._xlws.FILTER($N$5:$N$116, ($O$5:$O$116=$B409)+($P$5:$P$116=$B409)))</f>
        <v>L.10.5, L.10.11</v>
      </c>
      <c r="C413" s="138"/>
      <c r="D413" s="138"/>
      <c r="E413" s="138"/>
      <c r="F413" s="139"/>
    </row>
    <row r="414" spans="2:9" ht="15.75" customHeight="1" x14ac:dyDescent="0.2">
      <c r="B414" s="47"/>
      <c r="C414" s="138"/>
      <c r="D414" s="138"/>
      <c r="E414" s="138"/>
      <c r="F414" s="139"/>
    </row>
    <row r="415" spans="2:9" ht="15.75" customHeight="1" thickBot="1" x14ac:dyDescent="0.25">
      <c r="B415" s="84" t="s">
        <v>4</v>
      </c>
      <c r="C415" s="85" t="s">
        <v>11</v>
      </c>
      <c r="D415" s="85" t="s">
        <v>83</v>
      </c>
      <c r="E415" s="85" t="s">
        <v>84</v>
      </c>
      <c r="F415" s="86" t="s">
        <v>562</v>
      </c>
      <c r="G415" s="102" t="s">
        <v>11</v>
      </c>
      <c r="H415" s="98" t="s">
        <v>581</v>
      </c>
      <c r="I415" s="98" t="s">
        <v>90</v>
      </c>
    </row>
    <row r="416" spans="2:9" ht="15.75" customHeight="1" x14ac:dyDescent="0.2">
      <c r="B416" s="100">
        <v>1</v>
      </c>
      <c r="C416" s="69" t="str">
        <f>TRIM(LEFT($B413, FIND(",", $B413)-1))</f>
        <v>L.10.5</v>
      </c>
      <c r="D416" s="69">
        <f>_xlfn.XLOOKUP($G416,$N$5:$N$116,$R$5:$R$116)</f>
        <v>12</v>
      </c>
      <c r="E416" s="69" t="str">
        <f>_xlfn.XLOOKUP($G416,$N$5:$N$116,$S$5:$S$116)</f>
        <v>RED</v>
      </c>
      <c r="F416" s="78" t="str">
        <f>_xlfn.TEXTJOIN(" / ", TRUE,_xlfn.XLOOKUP($G416,$N$5:$N$116,$O$5:$O$116), _xlfn.XLOOKUP($G416,$N$5:$N$116,$P$5:$P$116))</f>
        <v>BAT + / F5</v>
      </c>
      <c r="G416" s="71" t="str">
        <f>C416</f>
        <v>L.10.5</v>
      </c>
      <c r="H416" s="13">
        <f>_xlfn.XLOOKUP($G416,$N$5:$N$116,$M$5:$M$116)</f>
        <v>23.15</v>
      </c>
      <c r="I416" s="13" t="str">
        <f>_xlfn.XLOOKUP($G416,$N$5:$N$116,$Q$5:$Q$116)</f>
        <v>+12V Straight from battery</v>
      </c>
    </row>
    <row r="417" spans="2:9" ht="15.75" customHeight="1" thickBot="1" x14ac:dyDescent="0.25">
      <c r="B417" s="67">
        <v>2</v>
      </c>
      <c r="C417" s="16" t="str">
        <f>TRIM(MID($B413, FIND(",", $B413)+1, LEN($B413)))</f>
        <v>L.10.11</v>
      </c>
      <c r="D417" s="16">
        <f>_xlfn.XLOOKUP($G417,$N$5:$N$116,$R$5:$R$116)</f>
        <v>12</v>
      </c>
      <c r="E417" s="16" t="str">
        <f>_xlfn.XLOOKUP($G417,$N$5:$N$116,$S$5:$S$116)</f>
        <v>RED</v>
      </c>
      <c r="F417" s="50" t="str">
        <f>_xlfn.TEXTJOIN(" / ", TRUE,_xlfn.XLOOKUP($G417,$N$5:$N$116,$O$5:$O$116), _xlfn.XLOOKUP($G417,$N$5:$N$116,$P$5:$P$116))</f>
        <v>F5 / RLY5-P30</v>
      </c>
      <c r="G417" s="71" t="str">
        <f>C417</f>
        <v>L.10.11</v>
      </c>
      <c r="H417" s="13">
        <f>_xlfn.XLOOKUP($G417,$N$5:$N$116,$M$5:$M$116)</f>
        <v>23.15</v>
      </c>
      <c r="I417" s="13" t="str">
        <f>_xlfn.XLOOKUP($G417,$N$5:$N$116,$Q$5:$Q$116)</f>
        <v>Relay 5 (Misc 1) +12V Power Supply</v>
      </c>
    </row>
    <row r="419" spans="2:9" ht="15.75" customHeight="1" thickBot="1" x14ac:dyDescent="0.25"/>
    <row r="420" spans="2:9" ht="15.75" customHeight="1" thickBot="1" x14ac:dyDescent="0.3">
      <c r="B420" s="93" t="s">
        <v>322</v>
      </c>
      <c r="C420" s="94"/>
      <c r="D420" s="95"/>
      <c r="E420" s="96"/>
      <c r="F420" s="97" t="str">
        <f>_xlfn.XLOOKUP(C421,$W$32:$W$47,$AA$32:$AA$47)</f>
        <v>Misc Power 2</v>
      </c>
    </row>
    <row r="421" spans="2:9" ht="15.75" customHeight="1" x14ac:dyDescent="0.25">
      <c r="B421" s="91" t="s">
        <v>560</v>
      </c>
      <c r="C421" s="89">
        <f>VALUE(RIGHT(B420,LEN(B420)-1))</f>
        <v>6</v>
      </c>
      <c r="D421" s="101" t="s">
        <v>580</v>
      </c>
      <c r="E421" s="90">
        <f>_xlfn.XLOOKUP(C421,$W$32:$W$47,$Z$32:$Z$47)</f>
        <v>10</v>
      </c>
      <c r="F421" s="44"/>
    </row>
    <row r="422" spans="2:9" ht="15.75" customHeight="1" x14ac:dyDescent="0.2">
      <c r="B422" s="91" t="s">
        <v>579</v>
      </c>
      <c r="C422" s="90" t="str">
        <f>_xlfn.XLOOKUP(C421,$W$32:$W$47,$X$32:$X$47)</f>
        <v>ATM Mini</v>
      </c>
      <c r="D422" s="11"/>
      <c r="E422" s="11"/>
      <c r="F422" s="44"/>
    </row>
    <row r="423" spans="2:9" ht="15.75" customHeight="1" x14ac:dyDescent="0.2">
      <c r="B423" s="92" t="s">
        <v>3</v>
      </c>
      <c r="C423" s="138" t="str">
        <f>_xlfn.XLOOKUP(C421,$W$32:$W$47,$AC$32:$AC$47)</f>
        <v>Power for the taillights, turn signals, illumination, Brake Lights, starter relay coil</v>
      </c>
      <c r="D423" s="138"/>
      <c r="E423" s="138"/>
      <c r="F423" s="139"/>
    </row>
    <row r="424" spans="2:9" ht="12.75" x14ac:dyDescent="0.2">
      <c r="B424" s="88" t="str" cm="1">
        <f t="array" ref="B424">_xlfn.TEXTJOIN(", ", TRUE, _xlfn._xlws.FILTER($N$5:$N$116, ($O$5:$O$116=$B420)+($P$5:$P$116=$B420)))</f>
        <v>L.10.6, L.10.12</v>
      </c>
      <c r="C424" s="138"/>
      <c r="D424" s="138"/>
      <c r="E424" s="138"/>
      <c r="F424" s="139"/>
    </row>
    <row r="425" spans="2:9" ht="15.75" customHeight="1" x14ac:dyDescent="0.2">
      <c r="B425" s="47"/>
      <c r="C425" s="138"/>
      <c r="D425" s="138"/>
      <c r="E425" s="138"/>
      <c r="F425" s="139"/>
    </row>
    <row r="426" spans="2:9" ht="15.75" customHeight="1" thickBot="1" x14ac:dyDescent="0.25">
      <c r="B426" s="84" t="s">
        <v>4</v>
      </c>
      <c r="C426" s="85" t="s">
        <v>11</v>
      </c>
      <c r="D426" s="85" t="s">
        <v>83</v>
      </c>
      <c r="E426" s="85" t="s">
        <v>84</v>
      </c>
      <c r="F426" s="86" t="s">
        <v>562</v>
      </c>
      <c r="G426" s="29" t="s">
        <v>11</v>
      </c>
      <c r="H426" s="98" t="s">
        <v>581</v>
      </c>
      <c r="I426" s="29" t="s">
        <v>90</v>
      </c>
    </row>
    <row r="427" spans="2:9" ht="15.75" customHeight="1" x14ac:dyDescent="0.2">
      <c r="B427" s="100">
        <v>1</v>
      </c>
      <c r="C427" s="69" t="str">
        <f>TRIM(LEFT($B424, FIND(",", $B424)-1))</f>
        <v>L.10.6</v>
      </c>
      <c r="D427" s="69">
        <f>_xlfn.XLOOKUP($G427,$N$5:$N$116,$R$5:$R$116)</f>
        <v>12</v>
      </c>
      <c r="E427" s="69" t="str">
        <f>_xlfn.XLOOKUP($G427,$N$5:$N$116,$S$5:$S$116)</f>
        <v>RED</v>
      </c>
      <c r="F427" s="78" t="str">
        <f>_xlfn.TEXTJOIN(" / ", TRUE,_xlfn.XLOOKUP($G427,$N$5:$N$116,$O$5:$O$116), _xlfn.XLOOKUP($G427,$N$5:$N$116,$P$5:$P$116))</f>
        <v>BAT + / F6</v>
      </c>
      <c r="G427" s="71" t="str">
        <f>C427</f>
        <v>L.10.6</v>
      </c>
      <c r="H427" s="13">
        <f>_xlfn.XLOOKUP($G427,$N$5:$N$116,$M$5:$M$116)</f>
        <v>22.15</v>
      </c>
      <c r="I427" s="13" t="str">
        <f>_xlfn.XLOOKUP($G427,$N$5:$N$116,$Q$5:$Q$116)</f>
        <v>+12V Straight from battery</v>
      </c>
    </row>
    <row r="428" spans="2:9" ht="15.75" customHeight="1" thickBot="1" x14ac:dyDescent="0.25">
      <c r="B428" s="67">
        <v>2</v>
      </c>
      <c r="C428" s="16" t="str">
        <f>TRIM(MID($B424, FIND(",", $B424)+1, LEN($B424)))</f>
        <v>L.10.12</v>
      </c>
      <c r="D428" s="16">
        <f>_xlfn.XLOOKUP($G428,$N$5:$N$116,$R$5:$R$116)</f>
        <v>12</v>
      </c>
      <c r="E428" s="16" t="str">
        <f>_xlfn.XLOOKUP($G428,$N$5:$N$116,$S$5:$S$116)</f>
        <v>RED</v>
      </c>
      <c r="F428" s="50" t="str">
        <f>_xlfn.TEXTJOIN(" / ", TRUE,_xlfn.XLOOKUP($G428,$N$5:$N$116,$O$5:$O$116), _xlfn.XLOOKUP($G428,$N$5:$N$116,$P$5:$P$116))</f>
        <v>F6 / RLY6-P30</v>
      </c>
      <c r="G428" s="71" t="str">
        <f>C428</f>
        <v>L.10.12</v>
      </c>
      <c r="H428" s="13">
        <f>_xlfn.XLOOKUP($G428,$N$5:$N$116,$M$5:$M$116)</f>
        <v>22.15</v>
      </c>
      <c r="I428" s="13" t="str">
        <f>_xlfn.XLOOKUP($G428,$N$5:$N$116,$Q$5:$Q$116)</f>
        <v>Relay 6 (Misc 2) +12V Power Supply</v>
      </c>
    </row>
    <row r="430" spans="2:9" ht="15.75" customHeight="1" thickBot="1" x14ac:dyDescent="0.25"/>
    <row r="431" spans="2:9" ht="15.75" customHeight="1" thickBot="1" x14ac:dyDescent="0.3">
      <c r="B431" s="93" t="s">
        <v>459</v>
      </c>
      <c r="C431" s="94"/>
      <c r="D431" s="95"/>
      <c r="E431" s="96"/>
      <c r="F431" s="97" t="str">
        <f>_xlfn.XLOOKUP(C432,$W$32:$W$47,$AA$32:$AA$47)</f>
        <v>WB O2 Nano Pros</v>
      </c>
    </row>
    <row r="432" spans="2:9" ht="15.75" customHeight="1" x14ac:dyDescent="0.25">
      <c r="B432" s="91" t="s">
        <v>560</v>
      </c>
      <c r="C432" s="89">
        <f>VALUE(RIGHT(B431,LEN(B431)-1))</f>
        <v>7</v>
      </c>
      <c r="D432" s="101" t="s">
        <v>580</v>
      </c>
      <c r="E432" s="90">
        <f>_xlfn.XLOOKUP(C432,$W$32:$W$47,$Z$32:$Z$47)</f>
        <v>10</v>
      </c>
      <c r="F432" s="44"/>
    </row>
    <row r="433" spans="2:9" ht="15.75" customHeight="1" x14ac:dyDescent="0.2">
      <c r="B433" s="91" t="s">
        <v>579</v>
      </c>
      <c r="C433" s="90" t="str">
        <f>_xlfn.XLOOKUP(C432,$W$32:$W$47,$X$32:$X$47)</f>
        <v>ATM Mini</v>
      </c>
      <c r="D433" s="11"/>
      <c r="E433" s="11"/>
      <c r="F433" s="44"/>
    </row>
    <row r="434" spans="2:9" ht="15.75" customHeight="1" x14ac:dyDescent="0.2">
      <c r="B434" s="92" t="s">
        <v>3</v>
      </c>
      <c r="C434" s="138" t="str">
        <f>_xlfn.XLOOKUP(C432,$W$32:$W$47,$AC$32:$AC$47)</f>
        <v>Use this line to power both of the WB 02 Nano pros</v>
      </c>
      <c r="D434" s="138"/>
      <c r="E434" s="138"/>
      <c r="F434" s="139"/>
    </row>
    <row r="435" spans="2:9" ht="15.75" customHeight="1" x14ac:dyDescent="0.2">
      <c r="B435" s="88" t="str" cm="1">
        <f t="array" ref="B435">_xlfn.TEXTJOIN(", ", TRUE, _xlfn._xlws.FILTER($N$5:$N$116, ($O$5:$O$116=$B431)+($P$5:$P$116=$B431)))</f>
        <v>L.10.72, L.10.76</v>
      </c>
      <c r="C435" s="138"/>
      <c r="D435" s="138"/>
      <c r="E435" s="138"/>
      <c r="F435" s="139"/>
    </row>
    <row r="436" spans="2:9" ht="15.75" customHeight="1" x14ac:dyDescent="0.2">
      <c r="B436" s="47"/>
      <c r="C436" s="138"/>
      <c r="D436" s="138"/>
      <c r="E436" s="138"/>
      <c r="F436" s="139"/>
    </row>
    <row r="437" spans="2:9" ht="15.75" customHeight="1" thickBot="1" x14ac:dyDescent="0.25">
      <c r="B437" s="84" t="s">
        <v>4</v>
      </c>
      <c r="C437" s="85" t="s">
        <v>11</v>
      </c>
      <c r="D437" s="85" t="s">
        <v>83</v>
      </c>
      <c r="E437" s="85" t="s">
        <v>84</v>
      </c>
      <c r="F437" s="86" t="s">
        <v>562</v>
      </c>
      <c r="G437" s="29" t="s">
        <v>11</v>
      </c>
      <c r="H437" s="98" t="s">
        <v>581</v>
      </c>
      <c r="I437" s="29" t="s">
        <v>90</v>
      </c>
    </row>
    <row r="438" spans="2:9" ht="15.75" customHeight="1" x14ac:dyDescent="0.2">
      <c r="B438" s="100">
        <v>1</v>
      </c>
      <c r="C438" s="69" t="str">
        <f>TRIM(LEFT($B435, FIND(",", $B435)-1))</f>
        <v>L.10.72</v>
      </c>
      <c r="D438" s="69">
        <f>_xlfn.XLOOKUP($G438,$N$5:$N$116,$R$5:$R$116)</f>
        <v>14</v>
      </c>
      <c r="E438" s="69" t="str">
        <f>_xlfn.XLOOKUP($G438,$N$5:$N$116,$S$5:$S$116)</f>
        <v>RED</v>
      </c>
      <c r="F438" s="78" t="str">
        <f>_xlfn.TEXTJOIN(" / ", TRUE,_xlfn.XLOOKUP($G438,$N$5:$N$116,$O$5:$O$116), _xlfn.XLOOKUP($G438,$N$5:$N$116,$P$5:$P$116))</f>
        <v>J14 / F7</v>
      </c>
      <c r="G438" s="71" t="str">
        <f>C438</f>
        <v>L.10.72</v>
      </c>
      <c r="H438" s="13">
        <f>_xlfn.XLOOKUP($G438,$N$5:$N$116,$M$5:$M$116)</f>
        <v>15</v>
      </c>
      <c r="I438" s="13" t="str">
        <f>_xlfn.XLOOKUP($G438,$N$5:$N$116,$Q$5:$Q$116)</f>
        <v>+12V For Fuse 7 - WB Nanos Pros</v>
      </c>
    </row>
    <row r="439" spans="2:9" ht="15.75" customHeight="1" thickBot="1" x14ac:dyDescent="0.25">
      <c r="B439" s="67">
        <v>2</v>
      </c>
      <c r="C439" s="16" t="str">
        <f>TRIM(MID($B435, FIND(",", $B435)+1, LEN($B435)))</f>
        <v>L.10.76</v>
      </c>
      <c r="D439" s="16">
        <f>_xlfn.XLOOKUP($G439,$N$5:$N$116,$R$5:$R$116)</f>
        <v>14</v>
      </c>
      <c r="E439" s="16" t="str">
        <f>_xlfn.XLOOKUP($G439,$N$5:$N$116,$S$5:$S$116)</f>
        <v>RED</v>
      </c>
      <c r="F439" s="50" t="str">
        <f>_xlfn.TEXTJOIN(" / ", TRUE,_xlfn.XLOOKUP($G439,$N$5:$N$116,$O$5:$O$116), _xlfn.XLOOKUP($G439,$N$5:$N$116,$P$5:$P$116))</f>
        <v>F7 / J15</v>
      </c>
      <c r="G439" s="71" t="str">
        <f>C439</f>
        <v>L.10.76</v>
      </c>
      <c r="H439" s="13">
        <f>_xlfn.XLOOKUP($G439,$N$5:$N$116,$M$5:$M$116)</f>
        <v>15</v>
      </c>
      <c r="I439" s="13" t="str">
        <f>_xlfn.XLOOKUP($G439,$N$5:$N$116,$Q$5:$Q$116)</f>
        <v>Fuse 7 - WB Nano Power</v>
      </c>
    </row>
    <row r="441" spans="2:9" ht="15.75" customHeight="1" thickBot="1" x14ac:dyDescent="0.25"/>
    <row r="442" spans="2:9" ht="15.75" customHeight="1" thickBot="1" x14ac:dyDescent="0.3">
      <c r="B442" s="93" t="s">
        <v>350</v>
      </c>
      <c r="C442" s="94"/>
      <c r="D442" s="95"/>
      <c r="E442" s="96"/>
      <c r="F442" s="97" t="str">
        <f>_xlfn.XLOOKUP(C443,$W$32:$W$47,$AA$32:$AA$47)</f>
        <v>Fuel Pump</v>
      </c>
    </row>
    <row r="443" spans="2:9" ht="15.75" customHeight="1" x14ac:dyDescent="0.25">
      <c r="B443" s="91" t="s">
        <v>560</v>
      </c>
      <c r="C443" s="89">
        <f>VALUE(RIGHT(B442,LEN(B442)-1))</f>
        <v>8</v>
      </c>
      <c r="D443" s="101" t="s">
        <v>580</v>
      </c>
      <c r="E443" s="90">
        <f>_xlfn.XLOOKUP(C443,$W$32:$W$47,$Z$32:$Z$47)</f>
        <v>10</v>
      </c>
      <c r="F443" s="44"/>
    </row>
    <row r="444" spans="2:9" ht="15.75" customHeight="1" x14ac:dyDescent="0.2">
      <c r="B444" s="91" t="s">
        <v>579</v>
      </c>
      <c r="C444" s="90" t="str">
        <f>_xlfn.XLOOKUP(C443,$W$32:$W$47,$X$32:$X$47)</f>
        <v>ATM Mini</v>
      </c>
      <c r="D444" s="11"/>
      <c r="E444" s="11"/>
      <c r="F444" s="44"/>
    </row>
    <row r="445" spans="2:9" ht="15.75" customHeight="1" x14ac:dyDescent="0.2">
      <c r="B445" s="92" t="s">
        <v>3</v>
      </c>
      <c r="C445" s="138">
        <f>_xlfn.XLOOKUP(C443,$W$32:$W$47,$AC$32:$AC$47)</f>
        <v>0</v>
      </c>
      <c r="D445" s="138"/>
      <c r="E445" s="138"/>
      <c r="F445" s="139"/>
    </row>
    <row r="446" spans="2:9" ht="15.75" customHeight="1" x14ac:dyDescent="0.2">
      <c r="B446" s="88" t="str" cm="1">
        <f t="array" ref="B446">_xlfn.TEXTJOIN(", ", TRUE, _xlfn._xlws.FILTER($N$5:$N$116, ($O$5:$O$116=$B442)+($P$5:$P$116=$B442)))</f>
        <v>L.10.18, L.10.20</v>
      </c>
      <c r="C446" s="138"/>
      <c r="D446" s="138"/>
      <c r="E446" s="138"/>
      <c r="F446" s="139"/>
    </row>
    <row r="447" spans="2:9" ht="15.75" customHeight="1" x14ac:dyDescent="0.2">
      <c r="B447" s="47"/>
      <c r="C447" s="138"/>
      <c r="D447" s="138"/>
      <c r="E447" s="138"/>
      <c r="F447" s="139"/>
    </row>
    <row r="448" spans="2:9" ht="15.75" customHeight="1" thickBot="1" x14ac:dyDescent="0.25">
      <c r="B448" s="84" t="s">
        <v>4</v>
      </c>
      <c r="C448" s="85" t="s">
        <v>11</v>
      </c>
      <c r="D448" s="85" t="s">
        <v>83</v>
      </c>
      <c r="E448" s="85" t="s">
        <v>84</v>
      </c>
      <c r="F448" s="86" t="s">
        <v>562</v>
      </c>
      <c r="G448" s="29" t="s">
        <v>11</v>
      </c>
      <c r="H448" s="98" t="s">
        <v>581</v>
      </c>
      <c r="I448" s="29" t="s">
        <v>90</v>
      </c>
    </row>
    <row r="449" spans="2:9" ht="15.75" customHeight="1" x14ac:dyDescent="0.2">
      <c r="B449" s="100">
        <v>1</v>
      </c>
      <c r="C449" s="69" t="str">
        <f>TRIM(LEFT($B446, FIND(",", $B446)-1))</f>
        <v>L.10.18</v>
      </c>
      <c r="D449" s="69">
        <f>_xlfn.XLOOKUP($G449,$N$5:$N$116,$R$5:$R$116)</f>
        <v>16</v>
      </c>
      <c r="E449" s="69" t="str">
        <f>_xlfn.XLOOKUP($G449,$N$5:$N$116,$S$5:$S$116)</f>
        <v>RED</v>
      </c>
      <c r="F449" s="78" t="str">
        <f>_xlfn.TEXTJOIN(" / ", TRUE,_xlfn.XLOOKUP($G449,$N$5:$N$116,$O$5:$O$116), _xlfn.XLOOKUP($G449,$N$5:$N$116,$P$5:$P$116))</f>
        <v>J2 / F8</v>
      </c>
      <c r="G449" s="71" t="str">
        <f>C449</f>
        <v>L.10.18</v>
      </c>
      <c r="H449" s="13">
        <f>_xlfn.XLOOKUP($G449,$N$5:$N$116,$M$5:$M$116)</f>
        <v>5.9</v>
      </c>
      <c r="I449" s="13" t="str">
        <f>_xlfn.XLOOKUP($G449,$N$5:$N$116,$Q$5:$Q$116)</f>
        <v>Relay 2 Powr for Fuse 8 (Fuel Pump)</v>
      </c>
    </row>
    <row r="450" spans="2:9" ht="15.75" customHeight="1" thickBot="1" x14ac:dyDescent="0.25">
      <c r="B450" s="67">
        <v>2</v>
      </c>
      <c r="C450" s="16" t="str">
        <f>TRIM(MID($B446, FIND(",", $B446)+1, LEN($B446)))</f>
        <v>L.10.20</v>
      </c>
      <c r="D450" s="16">
        <f>_xlfn.XLOOKUP($G450,$N$5:$N$116,$R$5:$R$116)</f>
        <v>16</v>
      </c>
      <c r="E450" s="16" t="str">
        <f>_xlfn.XLOOKUP($G450,$N$5:$N$116,$S$5:$S$116)</f>
        <v>RED</v>
      </c>
      <c r="F450" s="50" t="str">
        <f>_xlfn.TEXTJOIN(" / ", TRUE,_xlfn.XLOOKUP($G450,$N$5:$N$116,$O$5:$O$116), _xlfn.XLOOKUP($G450,$N$5:$N$116,$P$5:$P$116))</f>
        <v>F8 / J3</v>
      </c>
      <c r="G450" s="71" t="str">
        <f>C450</f>
        <v>L.10.20</v>
      </c>
      <c r="H450" s="13">
        <f>_xlfn.XLOOKUP($G450,$N$5:$N$116,$M$5:$M$116)</f>
        <v>5.9</v>
      </c>
      <c r="I450" s="13" t="str">
        <f>_xlfn.XLOOKUP($G450,$N$5:$N$116,$Q$5:$Q$116)</f>
        <v>Fuse 8 Pwr for Fuel pump and pump relay</v>
      </c>
    </row>
    <row r="452" spans="2:9" ht="15.75" customHeight="1" thickBot="1" x14ac:dyDescent="0.25"/>
    <row r="453" spans="2:9" ht="15.75" customHeight="1" thickBot="1" x14ac:dyDescent="0.3">
      <c r="B453" s="93" t="s">
        <v>351</v>
      </c>
      <c r="C453" s="94"/>
      <c r="D453" s="95"/>
      <c r="E453" s="96"/>
      <c r="F453" s="97" t="str">
        <f>_xlfn.XLOOKUP(C454,$W$32:$W$47,$AA$32:$AA$47)</f>
        <v>Fuel Injectors</v>
      </c>
    </row>
    <row r="454" spans="2:9" ht="15.75" customHeight="1" x14ac:dyDescent="0.25">
      <c r="B454" s="91" t="s">
        <v>560</v>
      </c>
      <c r="C454" s="89">
        <f>VALUE(RIGHT(B453,LEN(B453)-1))</f>
        <v>9</v>
      </c>
      <c r="D454" s="101" t="s">
        <v>580</v>
      </c>
      <c r="E454" s="90">
        <f>_xlfn.XLOOKUP(C454,$W$32:$W$47,$Z$32:$Z$47)</f>
        <v>7.5</v>
      </c>
      <c r="F454" s="44"/>
    </row>
    <row r="455" spans="2:9" ht="15.75" customHeight="1" x14ac:dyDescent="0.2">
      <c r="B455" s="91" t="s">
        <v>579</v>
      </c>
      <c r="C455" s="90" t="str">
        <f>_xlfn.XLOOKUP(C454,$W$32:$W$47,$X$32:$X$47)</f>
        <v>ATM Mini</v>
      </c>
      <c r="D455" s="11"/>
      <c r="E455" s="11"/>
      <c r="F455" s="44"/>
    </row>
    <row r="456" spans="2:9" ht="15.75" customHeight="1" x14ac:dyDescent="0.2">
      <c r="B456" s="92" t="s">
        <v>3</v>
      </c>
      <c r="C456" s="138">
        <f>_xlfn.XLOOKUP(C454,$W$32:$W$47,$AC$32:$AC$47)</f>
        <v>0</v>
      </c>
      <c r="D456" s="138"/>
      <c r="E456" s="138"/>
      <c r="F456" s="139"/>
    </row>
    <row r="457" spans="2:9" ht="15.75" customHeight="1" x14ac:dyDescent="0.2">
      <c r="B457" s="88" t="str" cm="1">
        <f t="array" ref="B457">_xlfn.TEXTJOIN(", ", TRUE, _xlfn._xlws.FILTER($N$5:$N$116, ($O$5:$O$116=$B453)+($P$5:$P$116=$B453)))</f>
        <v>L.10.19, L.10.23</v>
      </c>
      <c r="C457" s="138"/>
      <c r="D457" s="138"/>
      <c r="E457" s="138"/>
      <c r="F457" s="139"/>
    </row>
    <row r="458" spans="2:9" ht="15.75" customHeight="1" x14ac:dyDescent="0.2">
      <c r="B458" s="47"/>
      <c r="C458" s="138"/>
      <c r="D458" s="138"/>
      <c r="E458" s="138"/>
      <c r="F458" s="139"/>
    </row>
    <row r="459" spans="2:9" ht="15.75" customHeight="1" thickBot="1" x14ac:dyDescent="0.25">
      <c r="B459" s="84" t="s">
        <v>4</v>
      </c>
      <c r="C459" s="85" t="s">
        <v>11</v>
      </c>
      <c r="D459" s="85" t="s">
        <v>83</v>
      </c>
      <c r="E459" s="85" t="s">
        <v>84</v>
      </c>
      <c r="F459" s="86" t="s">
        <v>562</v>
      </c>
      <c r="G459" s="29" t="s">
        <v>11</v>
      </c>
      <c r="H459" s="98" t="s">
        <v>581</v>
      </c>
      <c r="I459" s="29" t="s">
        <v>90</v>
      </c>
    </row>
    <row r="460" spans="2:9" ht="15.75" customHeight="1" x14ac:dyDescent="0.2">
      <c r="B460" s="100">
        <v>1</v>
      </c>
      <c r="C460" s="69" t="str">
        <f>TRIM(LEFT($B457, FIND(",", $B457)-1))</f>
        <v>L.10.19</v>
      </c>
      <c r="D460" s="69">
        <f>_xlfn.XLOOKUP($G460,$N$5:$N$116,$R$5:$R$116)</f>
        <v>16</v>
      </c>
      <c r="E460" s="69" t="str">
        <f>_xlfn.XLOOKUP($G460,$N$5:$N$116,$S$5:$S$116)</f>
        <v>RED</v>
      </c>
      <c r="F460" s="78" t="str">
        <f>_xlfn.TEXTJOIN(" / ", TRUE,_xlfn.XLOOKUP($G460,$N$5:$N$116,$O$5:$O$116), _xlfn.XLOOKUP($G460,$N$5:$N$116,$P$5:$P$116))</f>
        <v>J2 / F9</v>
      </c>
      <c r="G460" s="71" t="str">
        <f>C460</f>
        <v>L.10.19</v>
      </c>
      <c r="H460" s="13">
        <f>_xlfn.XLOOKUP($G460,$N$5:$N$116,$M$5:$M$116)</f>
        <v>4.75</v>
      </c>
      <c r="I460" s="13" t="str">
        <f>_xlfn.XLOOKUP($G460,$N$5:$N$116,$Q$5:$Q$116)</f>
        <v>Relay 2 Powr for Fuse 9 (Injectors)</v>
      </c>
    </row>
    <row r="461" spans="2:9" ht="15.75" customHeight="1" thickBot="1" x14ac:dyDescent="0.25">
      <c r="B461" s="67">
        <v>2</v>
      </c>
      <c r="C461" s="16" t="str">
        <f>TRIM(MID($B457, FIND(",", $B457)+1, LEN($B457)))</f>
        <v>L.10.23</v>
      </c>
      <c r="D461" s="16">
        <f>_xlfn.XLOOKUP($G461,$N$5:$N$116,$R$5:$R$116)</f>
        <v>16</v>
      </c>
      <c r="E461" s="16" t="str">
        <f>_xlfn.XLOOKUP($G461,$N$5:$N$116,$S$5:$S$116)</f>
        <v>RED</v>
      </c>
      <c r="F461" s="50" t="str">
        <f>_xlfn.TEXTJOIN(" / ", TRUE,_xlfn.XLOOKUP($G461,$N$5:$N$116,$O$5:$O$116), _xlfn.XLOOKUP($G461,$N$5:$N$116,$P$5:$P$116))</f>
        <v>F9 / P1-C1</v>
      </c>
      <c r="G461" s="71" t="str">
        <f>C461</f>
        <v>L.10.23</v>
      </c>
      <c r="H461" s="13">
        <f>_xlfn.XLOOKUP($G461,$N$5:$N$116,$M$5:$M$116)</f>
        <v>4.75</v>
      </c>
      <c r="I461" s="13" t="str">
        <f>_xlfn.XLOOKUP($G461,$N$5:$N$116,$Q$5:$Q$116)</f>
        <v>Fuel Injector PWR</v>
      </c>
    </row>
    <row r="463" spans="2:9" ht="15.75" customHeight="1" thickBot="1" x14ac:dyDescent="0.25"/>
    <row r="464" spans="2:9" ht="15.75" customHeight="1" thickBot="1" x14ac:dyDescent="0.3">
      <c r="B464" s="93" t="s">
        <v>460</v>
      </c>
      <c r="C464" s="94"/>
      <c r="D464" s="95"/>
      <c r="E464" s="96"/>
      <c r="F464" s="97" t="str">
        <f>_xlfn.XLOOKUP(C465,$W$32:$W$47,$AA$32:$AA$47)</f>
        <v>FT550</v>
      </c>
    </row>
    <row r="465" spans="2:9" ht="15.75" customHeight="1" x14ac:dyDescent="0.25">
      <c r="B465" s="91" t="s">
        <v>560</v>
      </c>
      <c r="C465" s="89">
        <f>VALUE(RIGHT(B464,LEN(B464)-1))</f>
        <v>10</v>
      </c>
      <c r="D465" s="101" t="s">
        <v>580</v>
      </c>
      <c r="E465" s="90">
        <f>_xlfn.XLOOKUP(C465,$W$32:$W$47,$Z$32:$Z$47)</f>
        <v>10</v>
      </c>
      <c r="F465" s="44"/>
    </row>
    <row r="466" spans="2:9" ht="15.75" customHeight="1" x14ac:dyDescent="0.2">
      <c r="B466" s="91" t="s">
        <v>579</v>
      </c>
      <c r="C466" s="90" t="str">
        <f>_xlfn.XLOOKUP(C465,$W$32:$W$47,$X$32:$X$47)</f>
        <v>ATM Mini</v>
      </c>
      <c r="D466" s="11"/>
      <c r="E466" s="11"/>
      <c r="F466" s="44"/>
    </row>
    <row r="467" spans="2:9" ht="15.75" customHeight="1" x14ac:dyDescent="0.2">
      <c r="B467" s="92" t="s">
        <v>3</v>
      </c>
      <c r="C467" s="138">
        <f>_xlfn.XLOOKUP(C465,$W$32:$W$47,$AC$32:$AC$47)</f>
        <v>0</v>
      </c>
      <c r="D467" s="138"/>
      <c r="E467" s="138"/>
      <c r="F467" s="139"/>
    </row>
    <row r="468" spans="2:9" ht="15.75" customHeight="1" x14ac:dyDescent="0.2">
      <c r="B468" s="88" t="str" cm="1">
        <f t="array" ref="B468">_xlfn.TEXTJOIN(", ", TRUE, _xlfn._xlws.FILTER($N$5:$N$116, ($O$5:$O$116=$B464)+($P$5:$P$116=$B464)))</f>
        <v>L.10.73, L.10.79</v>
      </c>
      <c r="C468" s="138"/>
      <c r="D468" s="138"/>
      <c r="E468" s="138"/>
      <c r="F468" s="139"/>
    </row>
    <row r="469" spans="2:9" ht="15.75" customHeight="1" x14ac:dyDescent="0.2">
      <c r="B469" s="47"/>
      <c r="C469" s="138"/>
      <c r="D469" s="138"/>
      <c r="E469" s="138"/>
      <c r="F469" s="139"/>
    </row>
    <row r="470" spans="2:9" ht="15.75" customHeight="1" thickBot="1" x14ac:dyDescent="0.25">
      <c r="B470" s="84" t="s">
        <v>4</v>
      </c>
      <c r="C470" s="85" t="s">
        <v>11</v>
      </c>
      <c r="D470" s="85" t="s">
        <v>83</v>
      </c>
      <c r="E470" s="85" t="s">
        <v>84</v>
      </c>
      <c r="F470" s="86" t="s">
        <v>562</v>
      </c>
      <c r="G470" s="29" t="s">
        <v>11</v>
      </c>
      <c r="H470" s="98" t="s">
        <v>581</v>
      </c>
      <c r="I470" s="29" t="s">
        <v>90</v>
      </c>
    </row>
    <row r="471" spans="2:9" ht="15.75" customHeight="1" x14ac:dyDescent="0.2">
      <c r="B471" s="100">
        <v>1</v>
      </c>
      <c r="C471" s="69" t="str">
        <f>TRIM(LEFT($B468, FIND(",", $B468)-1))</f>
        <v>L.10.73</v>
      </c>
      <c r="D471" s="69">
        <f>_xlfn.XLOOKUP($G471,$N$5:$N$116,$R$5:$R$116)</f>
        <v>16</v>
      </c>
      <c r="E471" s="69" t="str">
        <f>_xlfn.XLOOKUP($G471,$N$5:$N$116,$S$5:$S$116)</f>
        <v>RED</v>
      </c>
      <c r="F471" s="78" t="str">
        <f>_xlfn.TEXTJOIN(" / ", TRUE,_xlfn.XLOOKUP($G471,$N$5:$N$116,$O$5:$O$116), _xlfn.XLOOKUP($G471,$N$5:$N$116,$P$5:$P$116))</f>
        <v>J14 / F10</v>
      </c>
      <c r="G471" s="71" t="str">
        <f>C471</f>
        <v>L.10.73</v>
      </c>
      <c r="H471" s="13">
        <f>_xlfn.XLOOKUP($G471,$N$5:$N$116,$M$5:$M$116)</f>
        <v>7.5</v>
      </c>
      <c r="I471" s="13" t="str">
        <f>_xlfn.XLOOKUP($G471,$N$5:$N$116,$Q$5:$Q$116)</f>
        <v>+12V For Fuse 10 - FT550</v>
      </c>
    </row>
    <row r="472" spans="2:9" ht="15.75" customHeight="1" thickBot="1" x14ac:dyDescent="0.25">
      <c r="B472" s="67">
        <v>2</v>
      </c>
      <c r="C472" s="16" t="str">
        <f>TRIM(MID($B468, FIND(",", $B468)+1, LEN($B468)))</f>
        <v>L.10.79</v>
      </c>
      <c r="D472" s="16">
        <f>_xlfn.XLOOKUP($G472,$N$5:$N$116,$R$5:$R$116)</f>
        <v>18</v>
      </c>
      <c r="E472" s="16" t="str">
        <f>_xlfn.XLOOKUP($G472,$N$5:$N$116,$S$5:$S$116)</f>
        <v>RED</v>
      </c>
      <c r="F472" s="50" t="str">
        <f>_xlfn.TEXTJOIN(" / ", TRUE,_xlfn.XLOOKUP($G472,$N$5:$N$116,$O$5:$O$116), _xlfn.XLOOKUP($G472,$N$5:$N$116,$P$5:$P$116))</f>
        <v>F10 / P3-C2</v>
      </c>
      <c r="G472" s="71" t="str">
        <f>C472</f>
        <v>L.10.79</v>
      </c>
      <c r="H472" s="13">
        <f>_xlfn.XLOOKUP($G472,$N$5:$N$116,$M$5:$M$116)</f>
        <v>7.5</v>
      </c>
      <c r="I472" s="13" t="str">
        <f>_xlfn.XLOOKUP($G472,$N$5:$N$116,$Q$5:$Q$116)</f>
        <v>FT550 PWR</v>
      </c>
    </row>
    <row r="474" spans="2:9" ht="15.75" customHeight="1" thickBot="1" x14ac:dyDescent="0.25"/>
    <row r="475" spans="2:9" ht="15.75" customHeight="1" thickBot="1" x14ac:dyDescent="0.3">
      <c r="B475" s="93" t="s">
        <v>461</v>
      </c>
      <c r="C475" s="94"/>
      <c r="D475" s="95"/>
      <c r="E475" s="96"/>
      <c r="F475" s="97" t="str">
        <f>_xlfn.XLOOKUP(C476,$W$32:$W$47,$AA$32:$AA$47)</f>
        <v>Light bar</v>
      </c>
    </row>
    <row r="476" spans="2:9" ht="15.75" customHeight="1" x14ac:dyDescent="0.25">
      <c r="B476" s="91" t="s">
        <v>560</v>
      </c>
      <c r="C476" s="89">
        <f>VALUE(RIGHT(B475,LEN(B475)-1))</f>
        <v>11</v>
      </c>
      <c r="D476" s="101" t="s">
        <v>580</v>
      </c>
      <c r="E476" s="90">
        <f>_xlfn.XLOOKUP(C476,$W$32:$W$47,$Z$32:$Z$47)</f>
        <v>5</v>
      </c>
      <c r="F476" s="44"/>
    </row>
    <row r="477" spans="2:9" ht="15.75" customHeight="1" x14ac:dyDescent="0.2">
      <c r="B477" s="91" t="s">
        <v>579</v>
      </c>
      <c r="C477" s="90" t="str">
        <f>_xlfn.XLOOKUP(C476,$W$32:$W$47,$X$32:$X$47)</f>
        <v>ATM Mini</v>
      </c>
      <c r="D477" s="11"/>
      <c r="E477" s="11"/>
      <c r="F477" s="44"/>
    </row>
    <row r="478" spans="2:9" ht="15.75" customHeight="1" x14ac:dyDescent="0.2">
      <c r="B478" s="92" t="s">
        <v>3</v>
      </c>
      <c r="C478" s="138" t="str">
        <f>_xlfn.XLOOKUP(C476,$W$32:$W$47,$AC$32:$AC$47)</f>
        <v>Powers anything in the light bar that needs direct power</v>
      </c>
      <c r="D478" s="138"/>
      <c r="E478" s="138"/>
      <c r="F478" s="139"/>
    </row>
    <row r="479" spans="2:9" ht="15.75" customHeight="1" x14ac:dyDescent="0.2">
      <c r="B479" s="88" t="str" cm="1">
        <f t="array" ref="B479">_xlfn.TEXTJOIN(", ", TRUE, _xlfn._xlws.FILTER($N$5:$N$116, ($O$5:$O$116=$B475)+($P$5:$P$116=$B475)))</f>
        <v>L.10.74, L.10.80</v>
      </c>
      <c r="C479" s="138"/>
      <c r="D479" s="138"/>
      <c r="E479" s="138"/>
      <c r="F479" s="139"/>
    </row>
    <row r="480" spans="2:9" ht="15.75" customHeight="1" x14ac:dyDescent="0.2">
      <c r="B480" s="47"/>
      <c r="C480" s="138"/>
      <c r="D480" s="138"/>
      <c r="E480" s="138"/>
      <c r="F480" s="139"/>
    </row>
    <row r="481" spans="2:9" ht="15.75" customHeight="1" thickBot="1" x14ac:dyDescent="0.25">
      <c r="B481" s="84" t="s">
        <v>4</v>
      </c>
      <c r="C481" s="85" t="s">
        <v>11</v>
      </c>
      <c r="D481" s="85" t="s">
        <v>83</v>
      </c>
      <c r="E481" s="85" t="s">
        <v>84</v>
      </c>
      <c r="F481" s="86" t="s">
        <v>562</v>
      </c>
      <c r="G481" s="29" t="s">
        <v>11</v>
      </c>
      <c r="H481" s="98" t="s">
        <v>581</v>
      </c>
      <c r="I481" s="29" t="s">
        <v>90</v>
      </c>
    </row>
    <row r="482" spans="2:9" ht="15.75" customHeight="1" x14ac:dyDescent="0.2">
      <c r="B482" s="100">
        <v>1</v>
      </c>
      <c r="C482" s="69" t="str">
        <f>TRIM(LEFT($B479, FIND(",", $B479)-1))</f>
        <v>L.10.74</v>
      </c>
      <c r="D482" s="69">
        <f>_xlfn.XLOOKUP($G482,$N$5:$N$116,$R$5:$R$116)</f>
        <v>16</v>
      </c>
      <c r="E482" s="69" t="str">
        <f>_xlfn.XLOOKUP($G482,$N$5:$N$116,$S$5:$S$116)</f>
        <v>RED</v>
      </c>
      <c r="F482" s="78" t="str">
        <f>_xlfn.TEXTJOIN(" / ", TRUE,_xlfn.XLOOKUP($G482,$N$5:$N$116,$O$5:$O$116), _xlfn.XLOOKUP($G482,$N$5:$N$116,$P$5:$P$116))</f>
        <v>J14 / F11</v>
      </c>
      <c r="G482" s="71" t="str">
        <f>C482</f>
        <v>L.10.74</v>
      </c>
      <c r="H482" s="13">
        <f>_xlfn.XLOOKUP($G482,$N$5:$N$116,$M$5:$M$116)</f>
        <v>0.15</v>
      </c>
      <c r="I482" s="13" t="str">
        <f>_xlfn.XLOOKUP($G482,$N$5:$N$116,$Q$5:$Q$116)</f>
        <v>+12V For Fuse 11 -  LED Lightbar</v>
      </c>
    </row>
    <row r="483" spans="2:9" ht="15.75" customHeight="1" thickBot="1" x14ac:dyDescent="0.25">
      <c r="B483" s="67">
        <v>2</v>
      </c>
      <c r="C483" s="16" t="str">
        <f>TRIM(MID($B479, FIND(",", $B479)+1, LEN($B479)))</f>
        <v>L.10.80</v>
      </c>
      <c r="D483" s="16">
        <f>_xlfn.XLOOKUP($G483,$N$5:$N$116,$R$5:$R$116)</f>
        <v>18</v>
      </c>
      <c r="E483" s="16" t="str">
        <f>_xlfn.XLOOKUP($G483,$N$5:$N$116,$S$5:$S$116)</f>
        <v>RED</v>
      </c>
      <c r="F483" s="50" t="str">
        <f>_xlfn.TEXTJOIN(" / ", TRUE,_xlfn.XLOOKUP($G483,$N$5:$N$116,$O$5:$O$116), _xlfn.XLOOKUP($G483,$N$5:$N$116,$P$5:$P$116))</f>
        <v>F11 / P6-C3</v>
      </c>
      <c r="G483" s="71" t="str">
        <f>C483</f>
        <v>L.10.80</v>
      </c>
      <c r="H483" s="13">
        <f>_xlfn.XLOOKUP($G483,$N$5:$N$116,$M$5:$M$116)</f>
        <v>0.15</v>
      </c>
      <c r="I483" s="13" t="str">
        <f>_xlfn.XLOOKUP($G483,$N$5:$N$116,$Q$5:$Q$116)</f>
        <v>Lightbar Power Supply +12V</v>
      </c>
    </row>
    <row r="485" spans="2:9" ht="15.75" customHeight="1" thickBot="1" x14ac:dyDescent="0.25"/>
    <row r="486" spans="2:9" ht="15.75" customHeight="1" thickBot="1" x14ac:dyDescent="0.3">
      <c r="B486" s="93" t="s">
        <v>462</v>
      </c>
      <c r="C486" s="94"/>
      <c r="D486" s="95"/>
      <c r="E486" s="96"/>
      <c r="F486" s="97" t="str">
        <f>_xlfn.XLOOKUP(C487,$W$32:$W$47,$AA$32:$AA$47)</f>
        <v>12V Sensor Power</v>
      </c>
    </row>
    <row r="487" spans="2:9" ht="15.75" customHeight="1" x14ac:dyDescent="0.25">
      <c r="B487" s="91" t="s">
        <v>560</v>
      </c>
      <c r="C487" s="89">
        <f>VALUE(RIGHT(B486,LEN(B486)-1))</f>
        <v>12</v>
      </c>
      <c r="D487" s="101" t="s">
        <v>580</v>
      </c>
      <c r="E487" s="90">
        <f>_xlfn.XLOOKUP(C487,$W$32:$W$47,$Z$32:$Z$47)</f>
        <v>5</v>
      </c>
      <c r="F487" s="44"/>
    </row>
    <row r="488" spans="2:9" ht="15.75" customHeight="1" x14ac:dyDescent="0.2">
      <c r="B488" s="91" t="s">
        <v>579</v>
      </c>
      <c r="C488" s="90" t="str">
        <f>_xlfn.XLOOKUP(C487,$W$32:$W$47,$X$32:$X$47)</f>
        <v>ATM Mini</v>
      </c>
      <c r="D488" s="11"/>
      <c r="E488" s="11"/>
      <c r="F488" s="44"/>
    </row>
    <row r="489" spans="2:9" ht="15.75" customHeight="1" x14ac:dyDescent="0.2">
      <c r="B489" s="92" t="s">
        <v>3</v>
      </c>
      <c r="C489" s="138">
        <f>_xlfn.XLOOKUP(C487,$W$32:$W$47,$AC$32:$AC$47)</f>
        <v>0</v>
      </c>
      <c r="D489" s="138"/>
      <c r="E489" s="138"/>
      <c r="F489" s="139"/>
    </row>
    <row r="490" spans="2:9" ht="15.75" customHeight="1" x14ac:dyDescent="0.2">
      <c r="B490" s="88" t="str" cm="1">
        <f t="array" ref="B490">_xlfn.TEXTJOIN(", ", TRUE, _xlfn._xlws.FILTER($N$5:$N$116, ($O$5:$O$116=$B486)+($P$5:$P$116=$B486)))</f>
        <v>L.10.75, L.10.81</v>
      </c>
      <c r="C490" s="138"/>
      <c r="D490" s="138"/>
      <c r="E490" s="138"/>
      <c r="F490" s="139"/>
    </row>
    <row r="491" spans="2:9" ht="15.75" customHeight="1" x14ac:dyDescent="0.2">
      <c r="B491" s="47"/>
      <c r="C491" s="138"/>
      <c r="D491" s="138"/>
      <c r="E491" s="138"/>
      <c r="F491" s="139"/>
    </row>
    <row r="492" spans="2:9" ht="15.75" customHeight="1" thickBot="1" x14ac:dyDescent="0.25">
      <c r="B492" s="84" t="s">
        <v>4</v>
      </c>
      <c r="C492" s="85" t="s">
        <v>11</v>
      </c>
      <c r="D492" s="85" t="s">
        <v>83</v>
      </c>
      <c r="E492" s="85" t="s">
        <v>84</v>
      </c>
      <c r="F492" s="86" t="s">
        <v>562</v>
      </c>
      <c r="G492" s="29" t="s">
        <v>11</v>
      </c>
      <c r="H492" s="98" t="s">
        <v>581</v>
      </c>
      <c r="I492" s="29" t="s">
        <v>90</v>
      </c>
    </row>
    <row r="493" spans="2:9" ht="15.75" customHeight="1" x14ac:dyDescent="0.2">
      <c r="B493" s="100">
        <v>1</v>
      </c>
      <c r="C493" s="69" t="str">
        <f>TRIM(LEFT($B490, FIND(",", $B490)-1))</f>
        <v>L.10.75</v>
      </c>
      <c r="D493" s="69">
        <f>_xlfn.XLOOKUP($G493,$N$5:$N$116,$R$5:$R$116)</f>
        <v>16</v>
      </c>
      <c r="E493" s="69" t="str">
        <f>_xlfn.XLOOKUP($G493,$N$5:$N$116,$S$5:$S$116)</f>
        <v>RED</v>
      </c>
      <c r="F493" s="78" t="str">
        <f>_xlfn.TEXTJOIN(" / ", TRUE,_xlfn.XLOOKUP($G493,$N$5:$N$116,$O$5:$O$116), _xlfn.XLOOKUP($G493,$N$5:$N$116,$P$5:$P$116))</f>
        <v>J14 / F12</v>
      </c>
      <c r="G493" s="71" t="str">
        <f>C493</f>
        <v>L.10.75</v>
      </c>
      <c r="H493" s="13">
        <f>_xlfn.XLOOKUP($G493,$N$5:$N$116,$M$5:$M$116)</f>
        <v>0.5</v>
      </c>
      <c r="I493" s="13" t="str">
        <f>_xlfn.XLOOKUP($G493,$N$5:$N$116,$Q$5:$Q$116)</f>
        <v>+12V For Fuse 12 - +12V Sensors</v>
      </c>
    </row>
    <row r="494" spans="2:9" ht="15.75" customHeight="1" thickBot="1" x14ac:dyDescent="0.25">
      <c r="B494" s="67">
        <v>2</v>
      </c>
      <c r="C494" s="16" t="str">
        <f>TRIM(MID($B490, FIND(",", $B490)+1, LEN($B490)))</f>
        <v>L.10.81</v>
      </c>
      <c r="D494" s="16">
        <f>_xlfn.XLOOKUP($G494,$N$5:$N$116,$R$5:$R$116)</f>
        <v>18</v>
      </c>
      <c r="E494" s="16" t="str">
        <f>_xlfn.XLOOKUP($G494,$N$5:$N$116,$S$5:$S$116)</f>
        <v>RED</v>
      </c>
      <c r="F494" s="50" t="str">
        <f>_xlfn.TEXTJOIN(" / ", TRUE,_xlfn.XLOOKUP($G494,$N$5:$N$116,$O$5:$O$116), _xlfn.XLOOKUP($G494,$N$5:$N$116,$P$5:$P$116))</f>
        <v>F12 / P4-C2</v>
      </c>
      <c r="G494" s="71" t="str">
        <f>C494</f>
        <v>L.10.81</v>
      </c>
      <c r="H494" s="13">
        <f>_xlfn.XLOOKUP($G494,$N$5:$N$116,$M$5:$M$116)</f>
        <v>0.5</v>
      </c>
      <c r="I494" s="13" t="str">
        <f>_xlfn.XLOOKUP($G494,$N$5:$N$116,$Q$5:$Q$116)</f>
        <v>+12V Semsor PWR</v>
      </c>
    </row>
    <row r="496" spans="2:9" ht="15.75" customHeight="1" thickBot="1" x14ac:dyDescent="0.25"/>
    <row r="497" spans="2:9" ht="15.75" customHeight="1" thickBot="1" x14ac:dyDescent="0.3">
      <c r="B497" s="93" t="s">
        <v>484</v>
      </c>
      <c r="C497" s="94"/>
      <c r="D497" s="95"/>
      <c r="E497" s="96"/>
      <c r="F497" s="97" t="str">
        <f>_xlfn.XLOOKUP(C498,$W$32:$W$47,$AA$32:$AA$47)</f>
        <v>Tail/Illumination</v>
      </c>
    </row>
    <row r="498" spans="2:9" ht="15.75" customHeight="1" x14ac:dyDescent="0.25">
      <c r="B498" s="91" t="s">
        <v>560</v>
      </c>
      <c r="C498" s="89">
        <f>VALUE(RIGHT(B497,LEN(B497)-1))</f>
        <v>13</v>
      </c>
      <c r="D498" s="101" t="s">
        <v>580</v>
      </c>
      <c r="E498" s="90">
        <f>_xlfn.XLOOKUP(C498,$W$32:$W$47,$Z$32:$Z$47)</f>
        <v>5</v>
      </c>
      <c r="F498" s="44"/>
    </row>
    <row r="499" spans="2:9" ht="15.75" customHeight="1" x14ac:dyDescent="0.2">
      <c r="B499" s="91" t="s">
        <v>579</v>
      </c>
      <c r="C499" s="90" t="str">
        <f>_xlfn.XLOOKUP(C498,$W$32:$W$47,$X$32:$X$47)</f>
        <v>ATM Mini</v>
      </c>
      <c r="D499" s="11"/>
      <c r="E499" s="11"/>
      <c r="F499" s="44"/>
    </row>
    <row r="500" spans="2:9" ht="15.75" customHeight="1" x14ac:dyDescent="0.2">
      <c r="B500" s="92" t="s">
        <v>3</v>
      </c>
      <c r="C500" s="138" t="str">
        <f>_xlfn.XLOOKUP(C498,$W$32:$W$47,$AC$32:$AC$47)</f>
        <v>All componets are LED Lights</v>
      </c>
      <c r="D500" s="138"/>
      <c r="E500" s="138"/>
      <c r="F500" s="139"/>
    </row>
    <row r="501" spans="2:9" ht="15.75" customHeight="1" x14ac:dyDescent="0.2">
      <c r="B501" s="88" t="str" cm="1">
        <f t="array" ref="B501">_xlfn.TEXTJOIN(", ", TRUE, _xlfn._xlws.FILTER($N$5:$N$116, ($O$5:$O$116=$B497)+($P$5:$P$116=$B497)))</f>
        <v>L.10.85, L.10.88</v>
      </c>
      <c r="C501" s="138"/>
      <c r="D501" s="138"/>
      <c r="E501" s="138"/>
      <c r="F501" s="139"/>
    </row>
    <row r="502" spans="2:9" ht="15.75" customHeight="1" x14ac:dyDescent="0.2">
      <c r="B502" s="47"/>
      <c r="C502" s="138"/>
      <c r="D502" s="138"/>
      <c r="E502" s="138"/>
      <c r="F502" s="139"/>
    </row>
    <row r="503" spans="2:9" ht="15.75" customHeight="1" thickBot="1" x14ac:dyDescent="0.25">
      <c r="B503" s="84" t="s">
        <v>4</v>
      </c>
      <c r="C503" s="85" t="s">
        <v>11</v>
      </c>
      <c r="D503" s="85" t="s">
        <v>83</v>
      </c>
      <c r="E503" s="85" t="s">
        <v>84</v>
      </c>
      <c r="F503" s="86" t="s">
        <v>562</v>
      </c>
      <c r="G503" s="29" t="s">
        <v>11</v>
      </c>
      <c r="H503" s="98" t="s">
        <v>581</v>
      </c>
      <c r="I503" s="29" t="s">
        <v>90</v>
      </c>
    </row>
    <row r="504" spans="2:9" ht="15.75" customHeight="1" x14ac:dyDescent="0.2">
      <c r="B504" s="100">
        <v>1</v>
      </c>
      <c r="C504" s="69" t="str">
        <f>TRIM(LEFT($B501, FIND(",", $B501)-1))</f>
        <v>L.10.85</v>
      </c>
      <c r="D504" s="69">
        <f>_xlfn.XLOOKUP($G504,$N$5:$N$116,$R$5:$R$116)</f>
        <v>16</v>
      </c>
      <c r="E504" s="69" t="str">
        <f>_xlfn.XLOOKUP($G504,$N$5:$N$116,$S$5:$S$116)</f>
        <v>RED</v>
      </c>
      <c r="F504" s="78" t="str">
        <f>_xlfn.TEXTJOIN(" / ", TRUE,_xlfn.XLOOKUP($G504,$N$5:$N$116,$O$5:$O$116), _xlfn.XLOOKUP($G504,$N$5:$N$116,$P$5:$P$116))</f>
        <v>J16 / F13</v>
      </c>
      <c r="G504" s="71" t="str">
        <f>C504</f>
        <v>L.10.85</v>
      </c>
      <c r="H504" s="13">
        <f>_xlfn.XLOOKUP($G504,$N$5:$N$116,$M$5:$M$116)</f>
        <v>4.5</v>
      </c>
      <c r="I504" s="13" t="str">
        <f>_xlfn.XLOOKUP($G504,$N$5:$N$116,$Q$5:$Q$116)</f>
        <v>Fuse 13 +12V PWR - TAIL/ILLUM</v>
      </c>
    </row>
    <row r="505" spans="2:9" ht="15.75" customHeight="1" thickBot="1" x14ac:dyDescent="0.25">
      <c r="B505" s="67">
        <v>2</v>
      </c>
      <c r="C505" s="16" t="str">
        <f>TRIM(MID($B501, FIND(",", $B501)+1, LEN($B501)))</f>
        <v>L.10.88</v>
      </c>
      <c r="D505" s="16">
        <f>_xlfn.XLOOKUP($G505,$N$5:$N$116,$R$5:$R$116)</f>
        <v>16</v>
      </c>
      <c r="E505" s="16" t="str">
        <f>_xlfn.XLOOKUP($G505,$N$5:$N$116,$S$5:$S$116)</f>
        <v>RED</v>
      </c>
      <c r="F505" s="50" t="str">
        <f>_xlfn.TEXTJOIN(" / ", TRUE,_xlfn.XLOOKUP($G505,$N$5:$N$116,$O$5:$O$116), _xlfn.XLOOKUP($G505,$N$5:$N$116,$P$5:$P$116))</f>
        <v>F13 / P7-C3</v>
      </c>
      <c r="G505" s="71" t="str">
        <f>C505</f>
        <v>L.10.88</v>
      </c>
      <c r="H505" s="13">
        <f>_xlfn.XLOOKUP($G505,$N$5:$N$116,$M$5:$M$116)</f>
        <v>4.5</v>
      </c>
      <c r="I505" s="13" t="str">
        <f>_xlfn.XLOOKUP($G505,$N$5:$N$116,$Q$5:$Q$116)</f>
        <v>Taill Illumination Fused +12V PWR</v>
      </c>
    </row>
    <row r="507" spans="2:9" ht="15.75" customHeight="1" thickBot="1" x14ac:dyDescent="0.25"/>
    <row r="508" spans="2:9" ht="15.75" customHeight="1" thickBot="1" x14ac:dyDescent="0.3">
      <c r="B508" s="93" t="s">
        <v>485</v>
      </c>
      <c r="C508" s="94"/>
      <c r="D508" s="95"/>
      <c r="E508" s="96"/>
      <c r="F508" s="97" t="str">
        <f>_xlfn.XLOOKUP(C509,$W$32:$W$47,$AA$32:$AA$47)</f>
        <v>Brake/Turn Signals</v>
      </c>
    </row>
    <row r="509" spans="2:9" ht="15.75" customHeight="1" x14ac:dyDescent="0.25">
      <c r="B509" s="91" t="s">
        <v>560</v>
      </c>
      <c r="C509" s="89">
        <f>VALUE(RIGHT(B508,LEN(B508)-1))</f>
        <v>14</v>
      </c>
      <c r="D509" s="101" t="s">
        <v>580</v>
      </c>
      <c r="E509" s="90">
        <f>_xlfn.XLOOKUP(C509,$W$32:$W$47,$Z$32:$Z$47)</f>
        <v>5</v>
      </c>
      <c r="F509" s="44"/>
    </row>
    <row r="510" spans="2:9" ht="15.75" customHeight="1" x14ac:dyDescent="0.2">
      <c r="B510" s="91" t="s">
        <v>579</v>
      </c>
      <c r="C510" s="90" t="str">
        <f>_xlfn.XLOOKUP(C509,$W$32:$W$47,$X$32:$X$47)</f>
        <v>ATM Mini</v>
      </c>
      <c r="D510" s="11"/>
      <c r="E510" s="11"/>
      <c r="F510" s="44"/>
    </row>
    <row r="511" spans="2:9" ht="15.75" customHeight="1" x14ac:dyDescent="0.2">
      <c r="B511" s="92" t="s">
        <v>3</v>
      </c>
      <c r="C511" s="138" t="str">
        <f>_xlfn.XLOOKUP(C509,$W$32:$W$47,$AC$32:$AC$47)</f>
        <v>All componets are LED Lights</v>
      </c>
      <c r="D511" s="138"/>
      <c r="E511" s="138"/>
      <c r="F511" s="139"/>
    </row>
    <row r="512" spans="2:9" ht="15.75" customHeight="1" x14ac:dyDescent="0.2">
      <c r="B512" s="88" t="str" cm="1">
        <f t="array" ref="B512">_xlfn.TEXTJOIN(", ", TRUE, _xlfn._xlws.FILTER($N$5:$N$116, ($O$5:$O$116=$B508)+($P$5:$P$116=$B508)))</f>
        <v>L.10.86, L.10.89</v>
      </c>
      <c r="C512" s="138"/>
      <c r="D512" s="138"/>
      <c r="E512" s="138"/>
      <c r="F512" s="139"/>
    </row>
    <row r="513" spans="2:9" ht="15.75" customHeight="1" x14ac:dyDescent="0.2">
      <c r="B513" s="47"/>
      <c r="C513" s="138"/>
      <c r="D513" s="138"/>
      <c r="E513" s="138"/>
      <c r="F513" s="139"/>
    </row>
    <row r="514" spans="2:9" ht="15.75" customHeight="1" thickBot="1" x14ac:dyDescent="0.25">
      <c r="B514" s="84" t="s">
        <v>4</v>
      </c>
      <c r="C514" s="85" t="s">
        <v>11</v>
      </c>
      <c r="D514" s="85" t="s">
        <v>83</v>
      </c>
      <c r="E514" s="85" t="s">
        <v>84</v>
      </c>
      <c r="F514" s="86" t="s">
        <v>562</v>
      </c>
      <c r="G514" s="29" t="s">
        <v>11</v>
      </c>
      <c r="H514" s="98" t="s">
        <v>581</v>
      </c>
      <c r="I514" s="29" t="s">
        <v>90</v>
      </c>
    </row>
    <row r="515" spans="2:9" ht="15.75" customHeight="1" x14ac:dyDescent="0.2">
      <c r="B515" s="100">
        <v>1</v>
      </c>
      <c r="C515" s="69" t="str">
        <f>TRIM(LEFT($B512, FIND(",", $B512)-1))</f>
        <v>L.10.86</v>
      </c>
      <c r="D515" s="69">
        <f>_xlfn.XLOOKUP($G515,$N$5:$N$116,$R$5:$R$116)</f>
        <v>16</v>
      </c>
      <c r="E515" s="69" t="str">
        <f>_xlfn.XLOOKUP($G515,$N$5:$N$116,$S$5:$S$116)</f>
        <v>RED</v>
      </c>
      <c r="F515" s="78" t="str">
        <f>_xlfn.TEXTJOIN(" / ", TRUE,_xlfn.XLOOKUP($G515,$N$5:$N$116,$O$5:$O$116), _xlfn.XLOOKUP($G515,$N$5:$N$116,$P$5:$P$116))</f>
        <v>J16 / F14</v>
      </c>
      <c r="G515" s="71" t="str">
        <f>C515</f>
        <v>L.10.86</v>
      </c>
      <c r="H515" s="13">
        <f>_xlfn.XLOOKUP($G515,$N$5:$N$116,$M$5:$M$116)</f>
        <v>10.35</v>
      </c>
      <c r="I515" s="13" t="str">
        <f>_xlfn.XLOOKUP($G515,$N$5:$N$116,$Q$5:$Q$116)</f>
        <v>Fuse 13 +12V PWR - BRAKE - TS</v>
      </c>
    </row>
    <row r="516" spans="2:9" ht="15.75" customHeight="1" thickBot="1" x14ac:dyDescent="0.25">
      <c r="B516" s="67">
        <v>2</v>
      </c>
      <c r="C516" s="16" t="str">
        <f>TRIM(MID($B512, FIND(",", $B512)+1, LEN($B512)))</f>
        <v>L.10.89</v>
      </c>
      <c r="D516" s="16">
        <f>_xlfn.XLOOKUP($G516,$N$5:$N$116,$R$5:$R$116)</f>
        <v>16</v>
      </c>
      <c r="E516" s="16" t="str">
        <f>_xlfn.XLOOKUP($G516,$N$5:$N$116,$S$5:$S$116)</f>
        <v>RED</v>
      </c>
      <c r="F516" s="50" t="str">
        <f>_xlfn.TEXTJOIN(" / ", TRUE,_xlfn.XLOOKUP($G516,$N$5:$N$116,$O$5:$O$116), _xlfn.XLOOKUP($G516,$N$5:$N$116,$P$5:$P$116))</f>
        <v>F14 / J17</v>
      </c>
      <c r="G516" s="71" t="str">
        <f>C516</f>
        <v>L.10.89</v>
      </c>
      <c r="H516" s="13">
        <f>_xlfn.XLOOKUP($G516,$N$5:$N$116,$M$5:$M$116)</f>
        <v>10.35</v>
      </c>
      <c r="I516" s="13" t="str">
        <f>_xlfn.XLOOKUP($G516,$N$5:$N$116,$Q$5:$Q$116)</f>
        <v>Fuse 14 - Brake PWR</v>
      </c>
    </row>
    <row r="518" spans="2:9" ht="15.75" customHeight="1" thickBot="1" x14ac:dyDescent="0.25"/>
    <row r="519" spans="2:9" ht="15.75" customHeight="1" thickBot="1" x14ac:dyDescent="0.3">
      <c r="B519" s="93" t="s">
        <v>486</v>
      </c>
      <c r="C519" s="94"/>
      <c r="D519" s="95"/>
      <c r="E519" s="96"/>
      <c r="F519" s="97" t="str">
        <f>_xlfn.XLOOKUP(C520,$W$32:$W$47,$AA$32:$AA$47)</f>
        <v>Start/Ignition</v>
      </c>
    </row>
    <row r="520" spans="2:9" ht="15.75" customHeight="1" x14ac:dyDescent="0.25">
      <c r="B520" s="91" t="s">
        <v>560</v>
      </c>
      <c r="C520" s="89">
        <f>VALUE(RIGHT(B519,LEN(B519)-1))</f>
        <v>15</v>
      </c>
      <c r="D520" s="101" t="s">
        <v>580</v>
      </c>
      <c r="E520" s="90">
        <f>_xlfn.XLOOKUP(C520,$W$32:$W$47,$Z$32:$Z$47)</f>
        <v>10</v>
      </c>
      <c r="F520" s="44"/>
    </row>
    <row r="521" spans="2:9" ht="15.75" customHeight="1" x14ac:dyDescent="0.2">
      <c r="B521" s="91" t="s">
        <v>579</v>
      </c>
      <c r="C521" s="90" t="str">
        <f>_xlfn.XLOOKUP(C520,$W$32:$W$47,$X$32:$X$47)</f>
        <v>ATM Mini</v>
      </c>
      <c r="D521" s="11"/>
      <c r="E521" s="11"/>
      <c r="F521" s="44"/>
    </row>
    <row r="522" spans="2:9" ht="15.75" customHeight="1" x14ac:dyDescent="0.2">
      <c r="B522" s="92" t="s">
        <v>3</v>
      </c>
      <c r="C522" s="138">
        <f>_xlfn.XLOOKUP(C520,$W$32:$W$47,$AC$32:$AC$47)</f>
        <v>0</v>
      </c>
      <c r="D522" s="138"/>
      <c r="E522" s="138"/>
      <c r="F522" s="139"/>
    </row>
    <row r="523" spans="2:9" ht="15.75" customHeight="1" x14ac:dyDescent="0.2">
      <c r="B523" s="88" t="str" cm="1">
        <f t="array" ref="B523">_xlfn.TEXTJOIN(", ", TRUE, _xlfn._xlws.FILTER($N$5:$N$116, ($O$5:$O$116=$B519)+($P$5:$P$116=$B519)))</f>
        <v>L.10.87, L.10.93</v>
      </c>
      <c r="C523" s="138"/>
      <c r="D523" s="138"/>
      <c r="E523" s="138"/>
      <c r="F523" s="139"/>
    </row>
    <row r="524" spans="2:9" ht="15.75" customHeight="1" x14ac:dyDescent="0.2">
      <c r="B524" s="47"/>
      <c r="C524" s="138"/>
      <c r="D524" s="138"/>
      <c r="E524" s="138"/>
      <c r="F524" s="139"/>
    </row>
    <row r="525" spans="2:9" ht="15.75" customHeight="1" thickBot="1" x14ac:dyDescent="0.25">
      <c r="B525" s="84" t="s">
        <v>4</v>
      </c>
      <c r="C525" s="85" t="s">
        <v>11</v>
      </c>
      <c r="D525" s="85" t="s">
        <v>83</v>
      </c>
      <c r="E525" s="85" t="s">
        <v>84</v>
      </c>
      <c r="F525" s="86" t="s">
        <v>562</v>
      </c>
      <c r="G525" s="29" t="s">
        <v>11</v>
      </c>
      <c r="H525" s="98" t="s">
        <v>581</v>
      </c>
      <c r="I525" s="29" t="s">
        <v>90</v>
      </c>
    </row>
    <row r="526" spans="2:9" ht="15.75" customHeight="1" x14ac:dyDescent="0.2">
      <c r="B526" s="100">
        <v>1</v>
      </c>
      <c r="C526" s="69" t="str">
        <f>TRIM(LEFT($B523, FIND(",", $B523)-1))</f>
        <v>L.10.87</v>
      </c>
      <c r="D526" s="69">
        <f>_xlfn.XLOOKUP($G526,$N$5:$N$116,$R$5:$R$116)</f>
        <v>14</v>
      </c>
      <c r="E526" s="69" t="str">
        <f>_xlfn.XLOOKUP($G526,$N$5:$N$116,$S$5:$S$116)</f>
        <v>RED</v>
      </c>
      <c r="F526" s="78" t="str">
        <f>_xlfn.TEXTJOIN(" / ", TRUE,_xlfn.XLOOKUP($G526,$N$5:$N$116,$O$5:$O$116), _xlfn.XLOOKUP($G526,$N$5:$N$116,$P$5:$P$116))</f>
        <v>J16 / F15</v>
      </c>
      <c r="G526" s="71" t="str">
        <f>C526</f>
        <v>L.10.87</v>
      </c>
      <c r="H526" s="13">
        <f>_xlfn.XLOOKUP($G526,$N$5:$N$116,$M$5:$M$116)</f>
        <v>7.3</v>
      </c>
      <c r="I526" s="13" t="str">
        <f>_xlfn.XLOOKUP($G526,$N$5:$N$116,$Q$5:$Q$116)</f>
        <v>Fuse 13 +12V PWR - START/IGN</v>
      </c>
    </row>
    <row r="527" spans="2:9" ht="15.75" customHeight="1" thickBot="1" x14ac:dyDescent="0.25">
      <c r="B527" s="67">
        <v>2</v>
      </c>
      <c r="C527" s="16" t="str">
        <f>TRIM(MID($B523, FIND(",", $B523)+1, LEN($B523)))</f>
        <v>L.10.93</v>
      </c>
      <c r="D527" s="16">
        <f>_xlfn.XLOOKUP($G527,$N$5:$N$116,$R$5:$R$116)</f>
        <v>14</v>
      </c>
      <c r="E527" s="16" t="str">
        <f>_xlfn.XLOOKUP($G527,$N$5:$N$116,$S$5:$S$116)</f>
        <v>RED</v>
      </c>
      <c r="F527" s="50" t="str">
        <f>_xlfn.TEXTJOIN(" / ", TRUE,_xlfn.XLOOKUP($G527,$N$5:$N$116,$O$5:$O$116), _xlfn.XLOOKUP($G527,$N$5:$N$116,$P$5:$P$116))</f>
        <v>F15 / P1-C3</v>
      </c>
      <c r="G527" s="71" t="str">
        <f>C527</f>
        <v>L.10.93</v>
      </c>
      <c r="H527" s="13">
        <f>_xlfn.XLOOKUP($G527,$N$5:$N$116,$M$5:$M$116)</f>
        <v>7.3</v>
      </c>
      <c r="I527" s="13" t="str">
        <f>_xlfn.XLOOKUP($G527,$N$5:$N$116,$Q$5:$Q$116)</f>
        <v>Fuse 15 - Start Ignition +12V PWR</v>
      </c>
    </row>
  </sheetData>
  <mergeCells count="82">
    <mergeCell ref="C489:F491"/>
    <mergeCell ref="C500:F502"/>
    <mergeCell ref="C511:F513"/>
    <mergeCell ref="C522:F524"/>
    <mergeCell ref="C434:F436"/>
    <mergeCell ref="C445:F447"/>
    <mergeCell ref="C456:F458"/>
    <mergeCell ref="C467:F469"/>
    <mergeCell ref="C478:F480"/>
    <mergeCell ref="C379:F381"/>
    <mergeCell ref="C390:F392"/>
    <mergeCell ref="C401:F403"/>
    <mergeCell ref="C412:F414"/>
    <mergeCell ref="C423:F425"/>
    <mergeCell ref="C309:F311"/>
    <mergeCell ref="C323:F325"/>
    <mergeCell ref="C337:F339"/>
    <mergeCell ref="C351:F353"/>
    <mergeCell ref="C368:F370"/>
    <mergeCell ref="C239:F241"/>
    <mergeCell ref="C253:F255"/>
    <mergeCell ref="C267:F269"/>
    <mergeCell ref="C281:F283"/>
    <mergeCell ref="C295:F297"/>
    <mergeCell ref="C169:F171"/>
    <mergeCell ref="C183:F185"/>
    <mergeCell ref="C197:F199"/>
    <mergeCell ref="C211:F213"/>
    <mergeCell ref="C225:F227"/>
    <mergeCell ref="O129:P129"/>
    <mergeCell ref="R129:S129"/>
    <mergeCell ref="O130:P130"/>
    <mergeCell ref="R130:S130"/>
    <mergeCell ref="O131:P131"/>
    <mergeCell ref="R131:S131"/>
    <mergeCell ref="O137:P137"/>
    <mergeCell ref="R137:S137"/>
    <mergeCell ref="O138:P138"/>
    <mergeCell ref="R138:S138"/>
    <mergeCell ref="C155:F157"/>
    <mergeCell ref="T144:U144"/>
    <mergeCell ref="W3:AD3"/>
    <mergeCell ref="W30:AD30"/>
    <mergeCell ref="U5:U10"/>
    <mergeCell ref="O135:P135"/>
    <mergeCell ref="R135:S135"/>
    <mergeCell ref="O136:P136"/>
    <mergeCell ref="R136:S136"/>
    <mergeCell ref="O144:Q144"/>
    <mergeCell ref="R144:S144"/>
    <mergeCell ref="O132:P132"/>
    <mergeCell ref="R132:S132"/>
    <mergeCell ref="O133:P133"/>
    <mergeCell ref="R133:S133"/>
    <mergeCell ref="O134:P134"/>
    <mergeCell ref="R134:S134"/>
    <mergeCell ref="O128:P128"/>
    <mergeCell ref="R128:S128"/>
    <mergeCell ref="O123:P123"/>
    <mergeCell ref="R123:S123"/>
    <mergeCell ref="O124:P124"/>
    <mergeCell ref="R124:S124"/>
    <mergeCell ref="O125:P125"/>
    <mergeCell ref="R125:S125"/>
    <mergeCell ref="O126:P126"/>
    <mergeCell ref="R126:S126"/>
    <mergeCell ref="O127:P127"/>
    <mergeCell ref="R127:S127"/>
    <mergeCell ref="O120:P120"/>
    <mergeCell ref="R120:S120"/>
    <mergeCell ref="O121:P121"/>
    <mergeCell ref="R121:S121"/>
    <mergeCell ref="O122:P122"/>
    <mergeCell ref="R122:S122"/>
    <mergeCell ref="W59:AB59"/>
    <mergeCell ref="O119:P119"/>
    <mergeCell ref="R119:S119"/>
    <mergeCell ref="B3:F4"/>
    <mergeCell ref="N3:U3"/>
    <mergeCell ref="O117:P117"/>
    <mergeCell ref="R118:T118"/>
    <mergeCell ref="U99:U102"/>
  </mergeCells>
  <phoneticPr fontId="10" type="noConversion"/>
  <conditionalFormatting sqref="M5:M116">
    <cfRule type="expression" dxfId="2" priority="1">
      <formula>IF($M5&gt;_xlfn.XLOOKUP(R5,#REF!,#REF!),1,0)</formula>
    </cfRule>
    <cfRule type="expression" dxfId="1" priority="2">
      <formula>IF($M5&lt;=_xlfn.XLOOKUP(R5,#REF!,#REF!),1,0)</formula>
    </cfRule>
    <cfRule type="expression" dxfId="0" priority="3">
      <formula>IF(_xlfn.XLOOKUP(R5,#REF!,#REF!,"NF")="NF",1,0)</formula>
    </cfRule>
  </conditionalFormatting>
  <printOptions gridLines="1"/>
  <pageMargins left="0.25" right="0.25" top="0.75" bottom="0.75" header="0.3" footer="0.3"/>
  <pageSetup scale="1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Label Codes</vt:lpstr>
      <vt:lpstr>Power Supply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Hunter Babich</dc:creator>
  <cp:lastModifiedBy>Hunter Babich</cp:lastModifiedBy>
  <cp:lastPrinted>2025-08-08T12:34:37Z</cp:lastPrinted>
  <dcterms:created xsi:type="dcterms:W3CDTF">2025-06-18T16:21:47Z</dcterms:created>
  <dcterms:modified xsi:type="dcterms:W3CDTF">2025-08-08T12:34:59Z</dcterms:modified>
</cp:coreProperties>
</file>